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OHO01\Users\Ninomiya\Desktop\SHARE\00 HP 添付資料（二宮）\"/>
    </mc:Choice>
  </mc:AlternateContent>
  <xr:revisionPtr revIDLastSave="0" documentId="8_{B36B77AE-8A1C-4783-BCBC-4FF8AA3C8048}" xr6:coauthVersionLast="47" xr6:coauthVersionMax="47" xr10:uidLastSave="{00000000-0000-0000-0000-000000000000}"/>
  <workbookProtection workbookAlgorithmName="SHA-512" workbookHashValue="Fp0wb4ZoF2LUyVYzacAjZpcfgZjOuItF2TPqhdUZprNqdOQdKe3zAuEli3wBvNKwzlhS5belDLolH1g0EBrH1A==" workbookSaltValue="7cDGnR2/gSGWNJSc6UCZEA==" workbookSpinCount="100000" lockStructure="1"/>
  <bookViews>
    <workbookView xWindow="-120" yWindow="-120" windowWidth="29040" windowHeight="15720" xr2:uid="{00000000-000D-0000-FFFF-FFFF00000000}"/>
  </bookViews>
  <sheets>
    <sheet name="カペシタビン" sheetId="15" r:id="rId1"/>
    <sheet name="データベース" sheetId="14" state="hidden" r:id="rId2"/>
  </sheets>
  <definedNames>
    <definedName name="_xlnm.Print_Area" localSheetId="0">カペシタビン!$A$1:$BN$60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8" i="15" l="1"/>
  <c r="AZ9" i="15" l="1"/>
  <c r="AZ7" i="15"/>
  <c r="C21" i="14"/>
  <c r="D21" i="14"/>
  <c r="B21" i="14"/>
  <c r="AB3" i="14"/>
  <c r="W3" i="14"/>
  <c r="W4" i="14"/>
  <c r="W5" i="14"/>
  <c r="W6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AB4" i="14"/>
  <c r="AB5" i="14"/>
  <c r="AB6" i="14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S6" i="14"/>
  <c r="U6" i="14"/>
  <c r="Y6" i="14"/>
  <c r="AA6" i="14"/>
  <c r="S7" i="14"/>
  <c r="U7" i="14"/>
  <c r="Y7" i="14"/>
  <c r="AA7" i="14"/>
  <c r="S8" i="14"/>
  <c r="U8" i="14"/>
  <c r="Y8" i="14"/>
  <c r="AA8" i="14"/>
  <c r="S9" i="14"/>
  <c r="U9" i="14"/>
  <c r="Y9" i="14"/>
  <c r="AA9" i="14"/>
  <c r="E21" i="14" l="1"/>
  <c r="AA38" i="14"/>
  <c r="Y38" i="14"/>
  <c r="U38" i="14"/>
  <c r="S38" i="14"/>
  <c r="AA37" i="14"/>
  <c r="Y37" i="14"/>
  <c r="U37" i="14"/>
  <c r="S37" i="14"/>
  <c r="AA36" i="14"/>
  <c r="Y36" i="14"/>
  <c r="U36" i="14"/>
  <c r="S36" i="14"/>
  <c r="AA35" i="14"/>
  <c r="Y35" i="14"/>
  <c r="U35" i="14"/>
  <c r="S35" i="14"/>
  <c r="AA34" i="14"/>
  <c r="Y34" i="14"/>
  <c r="U34" i="14"/>
  <c r="S34" i="14"/>
  <c r="AA33" i="14"/>
  <c r="Y33" i="14"/>
  <c r="U33" i="14"/>
  <c r="S33" i="14"/>
  <c r="AA32" i="14"/>
  <c r="Y32" i="14"/>
  <c r="U32" i="14"/>
  <c r="S32" i="14"/>
  <c r="AA31" i="14"/>
  <c r="Y31" i="14"/>
  <c r="U31" i="14"/>
  <c r="S31" i="14"/>
  <c r="AD30" i="14"/>
  <c r="AA30" i="14"/>
  <c r="Y30" i="14"/>
  <c r="U30" i="14"/>
  <c r="S30" i="14"/>
  <c r="AD29" i="14"/>
  <c r="AA29" i="14"/>
  <c r="Y29" i="14"/>
  <c r="U29" i="14"/>
  <c r="S29" i="14"/>
  <c r="AD28" i="14"/>
  <c r="AA28" i="14"/>
  <c r="Y28" i="14"/>
  <c r="U28" i="14"/>
  <c r="S28" i="14"/>
  <c r="AD27" i="14"/>
  <c r="AA27" i="14"/>
  <c r="Y27" i="14"/>
  <c r="U27" i="14"/>
  <c r="S27" i="14"/>
  <c r="AD26" i="14"/>
  <c r="AA26" i="14"/>
  <c r="Y26" i="14"/>
  <c r="U26" i="14"/>
  <c r="S26" i="14"/>
  <c r="AD25" i="14"/>
  <c r="AA25" i="14"/>
  <c r="Y25" i="14"/>
  <c r="U25" i="14"/>
  <c r="S25" i="14"/>
  <c r="C26" i="14"/>
  <c r="B26" i="14"/>
  <c r="AD24" i="14"/>
  <c r="AA24" i="14"/>
  <c r="Y24" i="14"/>
  <c r="U24" i="14"/>
  <c r="S24" i="14"/>
  <c r="C25" i="14"/>
  <c r="B25" i="14"/>
  <c r="AC23" i="14"/>
  <c r="AD23" i="14" s="1"/>
  <c r="AA23" i="14"/>
  <c r="Y23" i="14"/>
  <c r="U23" i="14"/>
  <c r="S23" i="14"/>
  <c r="C24" i="14"/>
  <c r="B24" i="14"/>
  <c r="AC22" i="14"/>
  <c r="AD22" i="14" s="1"/>
  <c r="AA22" i="14"/>
  <c r="Y22" i="14"/>
  <c r="U22" i="14"/>
  <c r="S22" i="14"/>
  <c r="C23" i="14"/>
  <c r="B23" i="14"/>
  <c r="AC21" i="14"/>
  <c r="AD21" i="14" s="1"/>
  <c r="AA21" i="14"/>
  <c r="Y21" i="14"/>
  <c r="U21" i="14"/>
  <c r="S21" i="14"/>
  <c r="C22" i="14"/>
  <c r="B22" i="14"/>
  <c r="AA20" i="14"/>
  <c r="Y20" i="14"/>
  <c r="U20" i="14"/>
  <c r="S20" i="14"/>
  <c r="C20" i="14"/>
  <c r="B20" i="14"/>
  <c r="AA19" i="14"/>
  <c r="Y19" i="14"/>
  <c r="U19" i="14"/>
  <c r="S19" i="14"/>
  <c r="B19" i="14"/>
  <c r="E19" i="14" s="1"/>
  <c r="AA18" i="14"/>
  <c r="Y18" i="14"/>
  <c r="U18" i="14"/>
  <c r="S18" i="14"/>
  <c r="B18" i="14"/>
  <c r="E18" i="14" s="1"/>
  <c r="AA17" i="14"/>
  <c r="Y17" i="14"/>
  <c r="U17" i="14"/>
  <c r="S17" i="14"/>
  <c r="B17" i="14"/>
  <c r="E17" i="14" s="1"/>
  <c r="AA16" i="14"/>
  <c r="Y16" i="14"/>
  <c r="U16" i="14"/>
  <c r="S16" i="14"/>
  <c r="AA15" i="14"/>
  <c r="Y15" i="14"/>
  <c r="U15" i="14"/>
  <c r="S15" i="14"/>
  <c r="AA14" i="14"/>
  <c r="Y14" i="14"/>
  <c r="U14" i="14"/>
  <c r="S14" i="14"/>
  <c r="AA13" i="14"/>
  <c r="Y13" i="14"/>
  <c r="U13" i="14"/>
  <c r="S13" i="14"/>
  <c r="AA12" i="14"/>
  <c r="Y12" i="14"/>
  <c r="U12" i="14"/>
  <c r="S12" i="14"/>
  <c r="AA11" i="14"/>
  <c r="Y11" i="14"/>
  <c r="U11" i="14"/>
  <c r="S11" i="14"/>
  <c r="AA10" i="14"/>
  <c r="Y10" i="14"/>
  <c r="U10" i="14"/>
  <c r="S10" i="14"/>
  <c r="AA5" i="14"/>
  <c r="Y5" i="14"/>
  <c r="U5" i="14"/>
  <c r="S5" i="14"/>
  <c r="AA4" i="14"/>
  <c r="Y4" i="14"/>
  <c r="U4" i="14"/>
  <c r="S4" i="14"/>
  <c r="AA3" i="14"/>
  <c r="Y3" i="14"/>
  <c r="U3" i="14"/>
  <c r="S3" i="14"/>
  <c r="Z25" i="15"/>
  <c r="Z22" i="15"/>
  <c r="Z20" i="15"/>
  <c r="AT18" i="15"/>
  <c r="AI38" i="15"/>
  <c r="E26" i="14" l="1"/>
  <c r="E24" i="14"/>
  <c r="E22" i="14"/>
  <c r="E20" i="14"/>
  <c r="E23" i="14"/>
  <c r="E25" i="14"/>
  <c r="E27" i="14" l="1"/>
  <c r="Y13" i="15" s="1"/>
  <c r="B46" i="15" l="1"/>
  <c r="H48" i="15" s="1"/>
  <c r="B49" i="15"/>
  <c r="H51" i="15" s="1"/>
  <c r="B35" i="15"/>
  <c r="H37" i="15" s="1"/>
  <c r="AI35" i="15"/>
  <c r="AI36" i="15"/>
  <c r="AI37" i="15"/>
  <c r="AI44" i="15" s="1"/>
  <c r="AO45" i="15" l="1"/>
  <c r="B38" i="15"/>
  <c r="H40" i="15" s="1"/>
  <c r="H46" i="15"/>
  <c r="H47" i="15"/>
  <c r="I3" i="14"/>
  <c r="H49" i="15"/>
  <c r="H36" i="15"/>
  <c r="H50" i="15"/>
  <c r="AO46" i="15"/>
  <c r="AI48" i="15"/>
  <c r="AO50" i="15" s="1"/>
  <c r="H35" i="15"/>
  <c r="AO44" i="15"/>
  <c r="AO47" i="15"/>
  <c r="H52" i="15"/>
  <c r="J3" i="14" l="1"/>
  <c r="B42" i="15"/>
  <c r="G3" i="14" s="1"/>
  <c r="AO49" i="15"/>
  <c r="AO48" i="15"/>
  <c r="H39" i="15"/>
  <c r="H41" i="15"/>
  <c r="H38" i="15"/>
  <c r="K3" i="14" l="1"/>
  <c r="D2" i="14"/>
  <c r="H43" i="15"/>
  <c r="H44" i="15"/>
  <c r="H42" i="15"/>
  <c r="H45" i="15"/>
  <c r="H3" i="14" l="1"/>
  <c r="L3" i="14" l="1"/>
  <c r="P3" i="14" l="1"/>
  <c r="O3" i="14"/>
  <c r="N3" i="14"/>
  <c r="M3" i="14"/>
  <c r="G29" i="15" s="1"/>
  <c r="AH30" i="15" l="1"/>
  <c r="U29" i="15"/>
  <c r="Z29" i="15" s="1"/>
  <c r="L29" i="15"/>
</calcChain>
</file>

<file path=xl/sharedStrings.xml><?xml version="1.0" encoding="utf-8"?>
<sst xmlns="http://schemas.openxmlformats.org/spreadsheetml/2006/main" count="336" uniqueCount="156">
  <si>
    <t>カペシタビン監査時チェックシート</t>
    <rPh sb="6" eb="8">
      <t>カンサ</t>
    </rPh>
    <rPh sb="8" eb="9">
      <t>ジ</t>
    </rPh>
    <phoneticPr fontId="1"/>
  </si>
  <si>
    <t>➡</t>
    <phoneticPr fontId="1"/>
  </si>
  <si>
    <t>※直腸がんの術後補助化学療法に適応</t>
    <rPh sb="1" eb="3">
      <t>チョクチョウ</t>
    </rPh>
    <rPh sb="6" eb="8">
      <t>ジュツゴ</t>
    </rPh>
    <rPh sb="8" eb="10">
      <t>ホジョ</t>
    </rPh>
    <rPh sb="10" eb="12">
      <t>カガク</t>
    </rPh>
    <rPh sb="12" eb="14">
      <t>リョウホウ</t>
    </rPh>
    <rPh sb="15" eb="17">
      <t>テキオウ</t>
    </rPh>
    <phoneticPr fontId="1"/>
  </si>
  <si>
    <t>体表面積</t>
    <phoneticPr fontId="1"/>
  </si>
  <si>
    <t>用　　量</t>
    <rPh sb="0" eb="1">
      <t>ヨウ</t>
    </rPh>
    <rPh sb="3" eb="4">
      <t>リョウ</t>
    </rPh>
    <phoneticPr fontId="1"/>
  </si>
  <si>
    <t>CCr</t>
    <phoneticPr fontId="1"/>
  </si>
  <si>
    <t>減量不要</t>
    <rPh sb="0" eb="4">
      <t>ゲンリョウフヨウ</t>
    </rPh>
    <phoneticPr fontId="1"/>
  </si>
  <si>
    <t>75%用量に減量</t>
    <rPh sb="3" eb="5">
      <t>ヨウリョウ</t>
    </rPh>
    <rPh sb="6" eb="8">
      <t>ゲンリョウ</t>
    </rPh>
    <phoneticPr fontId="1"/>
  </si>
  <si>
    <t>禁忌</t>
    <rPh sb="0" eb="2">
      <t>キンキ</t>
    </rPh>
    <phoneticPr fontId="1"/>
  </si>
  <si>
    <t xml:space="preserve"> ▼疾患の確認</t>
    <rPh sb="2" eb="4">
      <t>シッカン</t>
    </rPh>
    <rPh sb="5" eb="7">
      <t>カクニン</t>
    </rPh>
    <phoneticPr fontId="1"/>
  </si>
  <si>
    <t>【1回量/1日量、腎機能による減量の確認】</t>
    <rPh sb="2" eb="4">
      <t>カイリョウ</t>
    </rPh>
    <rPh sb="6" eb="7">
      <t>ニチ</t>
    </rPh>
    <rPh sb="7" eb="8">
      <t>リョウ</t>
    </rPh>
    <rPh sb="9" eb="12">
      <t>ジンキノウ</t>
    </rPh>
    <rPh sb="15" eb="17">
      <t>ゲンリョウ</t>
    </rPh>
    <rPh sb="18" eb="20">
      <t>カクニン</t>
    </rPh>
    <phoneticPr fontId="1"/>
  </si>
  <si>
    <t>イリノテカンを併用</t>
    <rPh sb="7" eb="9">
      <t>ヘイヨウ</t>
    </rPh>
    <phoneticPr fontId="1"/>
  </si>
  <si>
    <t>イリノテカン以外の抗がん薬を併用</t>
    <rPh sb="6" eb="8">
      <t>イガイ</t>
    </rPh>
    <rPh sb="9" eb="10">
      <t>コウ</t>
    </rPh>
    <rPh sb="12" eb="13">
      <t>ヤク</t>
    </rPh>
    <rPh sb="14" eb="16">
      <t>ヘイヨウ</t>
    </rPh>
    <phoneticPr fontId="1"/>
  </si>
  <si>
    <t>カペシタビンを単剤で使用</t>
    <rPh sb="10" eb="12">
      <t>シヨウ</t>
    </rPh>
    <phoneticPr fontId="1"/>
  </si>
  <si>
    <t>放射線療法を併用</t>
    <rPh sb="0" eb="5">
      <t>ホウシャセンリョウホウ</t>
    </rPh>
    <rPh sb="6" eb="8">
      <t>ヘイヨウ</t>
    </rPh>
    <phoneticPr fontId="1"/>
  </si>
  <si>
    <t>※カペシタビン+イリノテカン(+ベバシズマブ)が該当</t>
    <rPh sb="24" eb="26">
      <t>ガイトウ</t>
    </rPh>
    <phoneticPr fontId="1"/>
  </si>
  <si>
    <t>※乳がんの場合はA法またはB法が該当</t>
    <rPh sb="1" eb="2">
      <t>ニュウ</t>
    </rPh>
    <rPh sb="5" eb="7">
      <t>バアイ</t>
    </rPh>
    <rPh sb="9" eb="10">
      <t>ホウ</t>
    </rPh>
    <rPh sb="14" eb="15">
      <t>ホウ</t>
    </rPh>
    <rPh sb="16" eb="18">
      <t>ガイトウ</t>
    </rPh>
    <phoneticPr fontId="1"/>
  </si>
  <si>
    <t>【用法、服用期間/休薬期間の確認】</t>
    <rPh sb="1" eb="3">
      <t>ヨウホウ</t>
    </rPh>
    <rPh sb="4" eb="6">
      <t>フクヨウ</t>
    </rPh>
    <rPh sb="6" eb="8">
      <t>キカン</t>
    </rPh>
    <rPh sb="9" eb="11">
      <t>キュウヤク</t>
    </rPh>
    <rPh sb="11" eb="13">
      <t>キカン</t>
    </rPh>
    <rPh sb="14" eb="16">
      <t>カクニン</t>
    </rPh>
    <phoneticPr fontId="1"/>
  </si>
  <si>
    <t>1日量</t>
    <rPh sb="1" eb="2">
      <t>ヒ</t>
    </rPh>
    <rPh sb="2" eb="3">
      <t>リョウ</t>
    </rPh>
    <phoneticPr fontId="1"/>
  </si>
  <si>
    <t>1回量</t>
    <rPh sb="1" eb="2">
      <t>カイ</t>
    </rPh>
    <rPh sb="2" eb="3">
      <t>リョウ</t>
    </rPh>
    <phoneticPr fontId="1"/>
  </si>
  <si>
    <t xml:space="preserve"> 1.31㎡未満</t>
  </si>
  <si>
    <t xml:space="preserve"> 1.31㎡ 以上1.64㎡ 未満</t>
  </si>
  <si>
    <t xml:space="preserve"> 1.64㎡以上</t>
  </si>
  <si>
    <t xml:space="preserve"> 1.33㎡未満</t>
  </si>
  <si>
    <t xml:space="preserve"> 1.33㎡ 以上1.57㎡ 未満</t>
  </si>
  <si>
    <t xml:space="preserve"> 1.57㎡ 以上1.81㎡ 未満</t>
  </si>
  <si>
    <t xml:space="preserve"> 1.81㎡以上</t>
  </si>
  <si>
    <t xml:space="preserve"> 1.36㎡未満</t>
  </si>
  <si>
    <t xml:space="preserve"> 1.36㎡ 以上1.66㎡ 未満</t>
  </si>
  <si>
    <t xml:space="preserve"> 1.66㎡ 以上1.96㎡ 未満</t>
  </si>
  <si>
    <t xml:space="preserve"> 1.96㎡以上</t>
  </si>
  <si>
    <t xml:space="preserve"> 1.31㎡ 以上1.69㎡ 未満</t>
  </si>
  <si>
    <t xml:space="preserve"> 1.69㎡ 以上2.07㎡ 未満</t>
  </si>
  <si>
    <t xml:space="preserve"> 2.07㎡以上</t>
  </si>
  <si>
    <t>A法</t>
    <rPh sb="1" eb="2">
      <t>ホウ</t>
    </rPh>
    <phoneticPr fontId="1"/>
  </si>
  <si>
    <t>B法</t>
    <rPh sb="1" eb="2">
      <t>ホウ</t>
    </rPh>
    <phoneticPr fontId="1"/>
  </si>
  <si>
    <t>C法</t>
    <rPh sb="1" eb="2">
      <t>ホウ</t>
    </rPh>
    <phoneticPr fontId="1"/>
  </si>
  <si>
    <t>D法</t>
    <rPh sb="1" eb="2">
      <t>ホウ</t>
    </rPh>
    <phoneticPr fontId="1"/>
  </si>
  <si>
    <t>E法</t>
    <rPh sb="1" eb="2">
      <t>ホウ</t>
    </rPh>
    <phoneticPr fontId="1"/>
  </si>
  <si>
    <t>51 ｍL/min 以上</t>
    <rPh sb="10" eb="12">
      <t>イジョウ</t>
    </rPh>
    <phoneticPr fontId="1"/>
  </si>
  <si>
    <t>30 ｍL/min 未満</t>
    <rPh sb="10" eb="12">
      <t>ミマン</t>
    </rPh>
    <phoneticPr fontId="1"/>
  </si>
  <si>
    <t>患者ID：</t>
    <rPh sb="0" eb="2">
      <t>カンジャ</t>
    </rPh>
    <phoneticPr fontId="1"/>
  </si>
  <si>
    <t>患者氏名：</t>
    <rPh sb="0" eb="4">
      <t>カンジャシメイ</t>
    </rPh>
    <phoneticPr fontId="1"/>
  </si>
  <si>
    <t>・年齢：</t>
    <rPh sb="1" eb="3">
      <t>ネンレイ</t>
    </rPh>
    <phoneticPr fontId="1"/>
  </si>
  <si>
    <t>歳</t>
    <rPh sb="0" eb="1">
      <t>サイ</t>
    </rPh>
    <phoneticPr fontId="1"/>
  </si>
  <si>
    <t>・身長：</t>
    <rPh sb="1" eb="3">
      <t>シンチョウ</t>
    </rPh>
    <phoneticPr fontId="1"/>
  </si>
  <si>
    <t>cm</t>
    <phoneticPr fontId="1"/>
  </si>
  <si>
    <t>・体重：</t>
    <rPh sb="1" eb="3">
      <t>タイジュウ</t>
    </rPh>
    <phoneticPr fontId="1"/>
  </si>
  <si>
    <t>kg</t>
    <phoneticPr fontId="1"/>
  </si>
  <si>
    <t>・SCr：</t>
    <phoneticPr fontId="1"/>
  </si>
  <si>
    <t>mg/dL</t>
    <phoneticPr fontId="1"/>
  </si>
  <si>
    <t>・性別：</t>
    <rPh sb="1" eb="3">
      <t>セイベツ</t>
    </rPh>
    <phoneticPr fontId="1"/>
  </si>
  <si>
    <t>・体表面積 ：</t>
    <rPh sb="1" eb="5">
      <t>タイヒョウメンセキ</t>
    </rPh>
    <phoneticPr fontId="1"/>
  </si>
  <si>
    <t>mL/min</t>
    <phoneticPr fontId="1"/>
  </si>
  <si>
    <t>・CCr　　  ：</t>
    <phoneticPr fontId="1"/>
  </si>
  <si>
    <t>mg</t>
  </si>
  <si>
    <t>mg</t>
    <phoneticPr fontId="1"/>
  </si>
  <si>
    <t>乳がん</t>
    <rPh sb="0" eb="1">
      <t>ニュウ</t>
    </rPh>
    <phoneticPr fontId="1"/>
  </si>
  <si>
    <t>大腸がん</t>
    <rPh sb="0" eb="2">
      <t>ダイチョウ</t>
    </rPh>
    <phoneticPr fontId="1"/>
  </si>
  <si>
    <r>
      <t xml:space="preserve">㎡  </t>
    </r>
    <r>
      <rPr>
        <sz val="7"/>
        <color theme="1"/>
        <rFont val="游ゴシック"/>
        <family val="3"/>
        <charset val="128"/>
      </rPr>
      <t>※DuBois式で算出</t>
    </r>
    <phoneticPr fontId="1"/>
  </si>
  <si>
    <r>
      <t>A法</t>
    </r>
    <r>
      <rPr>
        <sz val="9"/>
        <color theme="1"/>
        <rFont val="游ゴシック"/>
        <family val="3"/>
        <charset val="128"/>
      </rPr>
      <t>（21日間内服、7日間休薬）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</si>
  <si>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t>B法</t>
    </r>
    <r>
      <rPr>
        <sz val="9"/>
        <color theme="1"/>
        <rFont val="游ゴシック"/>
        <family val="3"/>
        <charset val="128"/>
      </rPr>
      <t>（14日間内服、7日間休薬）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</si>
  <si>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t>E法</t>
    </r>
    <r>
      <rPr>
        <sz val="9"/>
        <color theme="1"/>
        <rFont val="游ゴシック"/>
        <family val="3"/>
        <charset val="128"/>
      </rPr>
      <t>（14日間内服、7日間休薬）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</si>
  <si>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t>C法</t>
    </r>
    <r>
      <rPr>
        <sz val="9"/>
        <color theme="1"/>
        <rFont val="游ゴシック"/>
        <family val="3"/>
        <charset val="128"/>
      </rPr>
      <t>（14日間内服、7日間休薬）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</si>
  <si>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t>D法</t>
    </r>
    <r>
      <rPr>
        <sz val="9"/>
        <color theme="1"/>
        <rFont val="游ゴシック"/>
        <family val="3"/>
        <charset val="128"/>
      </rPr>
      <t>（5日間内服、2日間休薬）</t>
    </r>
    <rPh sb="1" eb="2">
      <t>ホウ</t>
    </rPh>
    <rPh sb="4" eb="5">
      <t>ヒ</t>
    </rPh>
    <rPh sb="5" eb="8">
      <t>カンナイフク</t>
    </rPh>
    <rPh sb="10" eb="11">
      <t>ヒ</t>
    </rPh>
    <rPh sb="11" eb="12">
      <t>カン</t>
    </rPh>
    <rPh sb="12" eb="14">
      <t>キュウヤク</t>
    </rPh>
    <phoneticPr fontId="1"/>
  </si>
  <si>
    <t>併用薬</t>
    <rPh sb="0" eb="3">
      <t>ヘイヨウヤク</t>
    </rPh>
    <phoneticPr fontId="1"/>
  </si>
  <si>
    <t>がん種</t>
    <rPh sb="2" eb="3">
      <t>シュ</t>
    </rPh>
    <phoneticPr fontId="1"/>
  </si>
  <si>
    <t>用法</t>
    <rPh sb="0" eb="2">
      <t>ヨウホウ</t>
    </rPh>
    <phoneticPr fontId="1"/>
  </si>
  <si>
    <t>チェック</t>
    <phoneticPr fontId="1"/>
  </si>
  <si>
    <t>監査者：</t>
    <rPh sb="0" eb="3">
      <t>カンサシャ</t>
    </rPh>
    <phoneticPr fontId="1"/>
  </si>
  <si>
    <t>1回量：</t>
    <rPh sb="1" eb="2">
      <t>カイ</t>
    </rPh>
    <rPh sb="2" eb="3">
      <t>リョウ</t>
    </rPh>
    <phoneticPr fontId="1"/>
  </si>
  <si>
    <t>1日量：</t>
    <rPh sb="1" eb="2">
      <t>ニチ</t>
    </rPh>
    <rPh sb="2" eb="3">
      <t>リョウ</t>
    </rPh>
    <phoneticPr fontId="1"/>
  </si>
  <si>
    <t xml:space="preserve"> ▼自由記載欄</t>
    <rPh sb="2" eb="7">
      <t>ジユウキサイラン</t>
    </rPh>
    <phoneticPr fontId="1"/>
  </si>
  <si>
    <t>※イリノテカンを併用していない場合が該当</t>
    <rPh sb="15" eb="17">
      <t>バアイ</t>
    </rPh>
    <rPh sb="18" eb="20">
      <t>ガイトウ</t>
    </rPh>
    <phoneticPr fontId="1"/>
  </si>
  <si>
    <t>※具体的な薬剤は、ラパチニブ、ツカチニブ、オキサリプラチン、シスプラチン、ベバシズマブ、トラスツズマブ、ニボルマブ、ペムブロリズマブなど</t>
    <rPh sb="1" eb="4">
      <t>グタイテキ</t>
    </rPh>
    <rPh sb="5" eb="7">
      <t>ヤクザイ</t>
    </rPh>
    <phoneticPr fontId="1"/>
  </si>
  <si>
    <t>用  法</t>
    <rPh sb="0" eb="1">
      <t>ヨウ</t>
    </rPh>
    <rPh sb="3" eb="4">
      <t>ホウ</t>
    </rPh>
    <phoneticPr fontId="1"/>
  </si>
  <si>
    <t xml:space="preserve"> 1.13㎡未満</t>
    <phoneticPr fontId="1"/>
  </si>
  <si>
    <t>減量段階1</t>
    <rPh sb="0" eb="4">
      <t>ゲンリョウダンカイ</t>
    </rPh>
    <phoneticPr fontId="1"/>
  </si>
  <si>
    <t xml:space="preserve"> 1.41㎡未満</t>
    <phoneticPr fontId="1"/>
  </si>
  <si>
    <t xml:space="preserve"> 表2.　腎機能による減量の確認</t>
    <rPh sb="1" eb="2">
      <t>ヒョウ</t>
    </rPh>
    <rPh sb="5" eb="8">
      <t>ジンキノウ</t>
    </rPh>
    <rPh sb="11" eb="13">
      <t>ゲンリョウ</t>
    </rPh>
    <rPh sb="14" eb="16">
      <t>カクニン</t>
    </rPh>
    <phoneticPr fontId="1"/>
  </si>
  <si>
    <t>表3.　B法・C法における減量段階1の投与量</t>
    <rPh sb="0" eb="1">
      <t>ヒョウ</t>
    </rPh>
    <rPh sb="5" eb="6">
      <t>ホウ</t>
    </rPh>
    <rPh sb="8" eb="9">
      <t>ホウ</t>
    </rPh>
    <rPh sb="13" eb="15">
      <t>ゲンリョウ</t>
    </rPh>
    <rPh sb="15" eb="17">
      <t>ダンカイ</t>
    </rPh>
    <rPh sb="19" eb="22">
      <t>トウヨリョウ</t>
    </rPh>
    <phoneticPr fontId="1"/>
  </si>
  <si>
    <r>
      <t>A法</t>
    </r>
    <r>
      <rPr>
        <sz val="9"/>
        <rFont val="游ゴシック"/>
        <family val="3"/>
        <charset val="128"/>
      </rPr>
      <t>（21日間内服、7日間休薬）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</si>
  <si>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t>B法</t>
    </r>
    <r>
      <rPr>
        <sz val="9"/>
        <rFont val="游ゴシック"/>
        <family val="3"/>
        <charset val="128"/>
      </rPr>
      <t>（14日間内服、7日間休薬）</t>
    </r>
    <rPh sb="1" eb="2">
      <t>ホウ</t>
    </rPh>
    <rPh sb="5" eb="6">
      <t>ヒ</t>
    </rPh>
    <rPh sb="6" eb="9">
      <t>カンナイフク</t>
    </rPh>
    <rPh sb="11" eb="12">
      <t>ヒ</t>
    </rPh>
    <rPh sb="12" eb="13">
      <t>カン</t>
    </rPh>
    <rPh sb="13" eb="15">
      <t>キュウヤク</t>
    </rPh>
    <phoneticPr fontId="1"/>
  </si>
  <si>
    <r>
      <rPr>
        <b/>
        <sz val="12"/>
        <color theme="1"/>
        <rFont val="游ゴシック"/>
        <family val="3"/>
        <charset val="128"/>
      </rPr>
      <t>【患者情報】</t>
    </r>
    <r>
      <rPr>
        <b/>
        <sz val="9"/>
        <color theme="1"/>
        <rFont val="游ゴシック"/>
        <family val="3"/>
        <charset val="128"/>
      </rPr>
      <t>※</t>
    </r>
    <r>
      <rPr>
        <sz val="9"/>
        <color theme="1"/>
        <rFont val="游ゴシック"/>
        <family val="3"/>
        <charset val="128"/>
      </rPr>
      <t>性別・年齢・身長・体重・SCrを入力すると、体表面積・CCrが自動で計算されます。</t>
    </r>
    <rPh sb="1" eb="5">
      <t>カンジャジョウホウ</t>
    </rPh>
    <rPh sb="7" eb="9">
      <t>セイベツ</t>
    </rPh>
    <rPh sb="10" eb="12">
      <t>ネンレイ</t>
    </rPh>
    <rPh sb="13" eb="15">
      <t>シンチョウ</t>
    </rPh>
    <rPh sb="16" eb="18">
      <t>タイジュウ</t>
    </rPh>
    <rPh sb="23" eb="25">
      <t>ニュウリョク</t>
    </rPh>
    <rPh sb="29" eb="33">
      <t>タイヒョウメンセキ</t>
    </rPh>
    <rPh sb="38" eb="40">
      <t>ジドウ</t>
    </rPh>
    <rPh sb="41" eb="43">
      <t>ケイサン</t>
    </rPh>
    <phoneticPr fontId="1"/>
  </si>
  <si>
    <t>備考：</t>
    <rPh sb="0" eb="2">
      <t>ビコウ</t>
    </rPh>
    <phoneticPr fontId="1"/>
  </si>
  <si>
    <t>※ A法・D法・E法適用時の減量に関しては、75%用量での減量を考慮</t>
    <phoneticPr fontId="1"/>
  </si>
  <si>
    <t>1回量</t>
    <rPh sb="1" eb="3">
      <t>カイリョウ</t>
    </rPh>
    <phoneticPr fontId="1"/>
  </si>
  <si>
    <t>体表面積</t>
    <rPh sb="0" eb="4">
      <t>タイヒョウメンセキ</t>
    </rPh>
    <phoneticPr fontId="1"/>
  </si>
  <si>
    <t>対応番号表</t>
    <rPh sb="0" eb="5">
      <t>タイオウバンゴウヒョウ</t>
    </rPh>
    <phoneticPr fontId="1"/>
  </si>
  <si>
    <t>1段階減量の用法</t>
    <rPh sb="1" eb="3">
      <t>ダンカイ</t>
    </rPh>
    <rPh sb="3" eb="5">
      <t>ゲンリョウ</t>
    </rPh>
    <rPh sb="6" eb="8">
      <t>ヨウホウ</t>
    </rPh>
    <phoneticPr fontId="1"/>
  </si>
  <si>
    <t>1段階減量の体表面積</t>
    <rPh sb="1" eb="3">
      <t>ダンカイ</t>
    </rPh>
    <rPh sb="3" eb="5">
      <t>ゲンリョウ</t>
    </rPh>
    <rPh sb="6" eb="10">
      <t>タイヒョウメンセキ</t>
    </rPh>
    <phoneticPr fontId="1"/>
  </si>
  <si>
    <t>番号</t>
    <rPh sb="0" eb="2">
      <t>バンゴウ</t>
    </rPh>
    <phoneticPr fontId="1"/>
  </si>
  <si>
    <t>1段階減量（用法）</t>
    <rPh sb="6" eb="8">
      <t>ヨウホウ</t>
    </rPh>
    <phoneticPr fontId="1"/>
  </si>
  <si>
    <t>番号</t>
    <phoneticPr fontId="1"/>
  </si>
  <si>
    <t>1段階減量（体表面積）</t>
    <rPh sb="6" eb="10">
      <t>タイヒョウメンセキ</t>
    </rPh>
    <phoneticPr fontId="1"/>
  </si>
  <si>
    <t xml:space="preserve"> 1.13㎡未満</t>
  </si>
  <si>
    <t xml:space="preserve"> 1.41㎡未満</t>
  </si>
  <si>
    <t>VLOOKUPのための対応表</t>
    <rPh sb="11" eb="14">
      <t>タイオウヒョウ</t>
    </rPh>
    <phoneticPr fontId="1"/>
  </si>
  <si>
    <t>表1.　各用法における体表面積ごとの用量（標準量）</t>
    <rPh sb="0" eb="1">
      <t>ヒョウ</t>
    </rPh>
    <rPh sb="4" eb="7">
      <t>カクヨウホウ</t>
    </rPh>
    <rPh sb="11" eb="15">
      <t>タイヒョウメンセキ</t>
    </rPh>
    <rPh sb="18" eb="20">
      <t>ヨウリョウ</t>
    </rPh>
    <rPh sb="21" eb="24">
      <t>ヒョウジュンリョウ</t>
    </rPh>
    <phoneticPr fontId="1"/>
  </si>
  <si>
    <t xml:space="preserve"> 1.13㎡ 以上1.45㎡ 未満</t>
  </si>
  <si>
    <t xml:space="preserve"> 1.13㎡ 以上1.45㎡ 未満</t>
    <phoneticPr fontId="1"/>
  </si>
  <si>
    <t xml:space="preserve"> 1.45㎡ 以上1.77㎡ 未満</t>
  </si>
  <si>
    <t xml:space="preserve"> 1.45㎡ 以上1.77㎡ 未満</t>
    <phoneticPr fontId="1"/>
  </si>
  <si>
    <t xml:space="preserve"> 1.77㎡以上</t>
  </si>
  <si>
    <t xml:space="preserve"> 1.77㎡以上</t>
    <phoneticPr fontId="1"/>
  </si>
  <si>
    <t xml:space="preserve"> 1.41㎡ 以上1.81㎡ 未満</t>
  </si>
  <si>
    <t xml:space="preserve"> 1.41㎡ 以上1.81㎡ 未満</t>
    <phoneticPr fontId="1"/>
  </si>
  <si>
    <t xml:space="preserve"> 1.81㎡以上</t>
    <phoneticPr fontId="1"/>
  </si>
  <si>
    <t>参考：ゼローダ 適正使用ガイド</t>
    <rPh sb="0" eb="2">
      <t>サンコウ</t>
    </rPh>
    <rPh sb="8" eb="12">
      <t>テキセイシヨウ</t>
    </rPh>
    <phoneticPr fontId="1"/>
  </si>
  <si>
    <t>30～50 mL/min（A･D･E法）</t>
    <phoneticPr fontId="1"/>
  </si>
  <si>
    <t>表3を参考に減量（減量段階1）</t>
    <rPh sb="0" eb="1">
      <t>ヒョウ</t>
    </rPh>
    <rPh sb="3" eb="5">
      <t>サンコウ</t>
    </rPh>
    <rPh sb="6" eb="8">
      <t>ゲンリョウ</t>
    </rPh>
    <rPh sb="9" eb="11">
      <t>ゲンリョウ</t>
    </rPh>
    <rPh sb="11" eb="13">
      <t>ダンカイ</t>
    </rPh>
    <phoneticPr fontId="1"/>
  </si>
  <si>
    <t>30～50 mL/min（B･C法）</t>
    <rPh sb="16" eb="17">
      <t>ホウ</t>
    </rPh>
    <phoneticPr fontId="1"/>
  </si>
  <si>
    <t/>
  </si>
  <si>
    <r>
      <t>☑</t>
    </r>
    <r>
      <rPr>
        <sz val="11"/>
        <color theme="1"/>
        <rFont val="Yu Gothic"/>
        <family val="3"/>
        <charset val="128"/>
      </rPr>
      <t>の数（表</t>
    </r>
    <r>
      <rPr>
        <sz val="11"/>
        <color theme="1"/>
        <rFont val="Segoe UI Symbol"/>
        <family val="3"/>
      </rPr>
      <t>1</t>
    </r>
    <r>
      <rPr>
        <sz val="11"/>
        <color theme="1"/>
        <rFont val="Yu Gothic"/>
        <family val="3"/>
        <charset val="128"/>
      </rPr>
      <t>と表3の用法）</t>
    </r>
    <rPh sb="2" eb="3">
      <t>カズ</t>
    </rPh>
    <rPh sb="4" eb="5">
      <t>ヒョウ</t>
    </rPh>
    <rPh sb="7" eb="8">
      <t>ヒョウ</t>
    </rPh>
    <rPh sb="10" eb="12">
      <t>ヨウホウ</t>
    </rPh>
    <phoneticPr fontId="1"/>
  </si>
  <si>
    <t>用法No.</t>
    <rPh sb="0" eb="2">
      <t>ヨウホウ</t>
    </rPh>
    <phoneticPr fontId="1"/>
  </si>
  <si>
    <t>体表面積No.</t>
    <rPh sb="0" eb="4">
      <t>タイヒョウメンセキ</t>
    </rPh>
    <phoneticPr fontId="1"/>
  </si>
  <si>
    <t>1段階減量の用法No.</t>
    <rPh sb="1" eb="3">
      <t>ダンカイ</t>
    </rPh>
    <rPh sb="3" eb="5">
      <t>ゲンリョウ</t>
    </rPh>
    <rPh sb="6" eb="8">
      <t>ヨウホウ</t>
    </rPh>
    <phoneticPr fontId="1"/>
  </si>
  <si>
    <t>1段階減量の体表面積No.</t>
    <rPh sb="1" eb="3">
      <t>ダンカイ</t>
    </rPh>
    <rPh sb="3" eb="5">
      <t>ゲンリョウ</t>
    </rPh>
    <rPh sb="6" eb="10">
      <t>タイヒョウメンセキ</t>
    </rPh>
    <phoneticPr fontId="1"/>
  </si>
  <si>
    <t>1段階減量の体表面積</t>
    <phoneticPr fontId="1"/>
  </si>
  <si>
    <t>1段階減量の用法</t>
    <phoneticPr fontId="1"/>
  </si>
  <si>
    <t>－</t>
    <phoneticPr fontId="1"/>
  </si>
  <si>
    <t>通し番号合算</t>
    <rPh sb="0" eb="1">
      <t>トオ</t>
    </rPh>
    <rPh sb="2" eb="4">
      <t>バンゴウ</t>
    </rPh>
    <rPh sb="4" eb="6">
      <t>ガッサン</t>
    </rPh>
    <phoneticPr fontId="1"/>
  </si>
  <si>
    <t>通し番号合算</t>
    <phoneticPr fontId="1"/>
  </si>
  <si>
    <t>判定</t>
    <rPh sb="0" eb="2">
      <t>ハンテイ</t>
    </rPh>
    <phoneticPr fontId="1"/>
  </si>
  <si>
    <t>併用薬でチェックが2個以上</t>
    <rPh sb="0" eb="3">
      <t>ヘイヨウヤク</t>
    </rPh>
    <rPh sb="10" eb="11">
      <t>コ</t>
    </rPh>
    <rPh sb="11" eb="13">
      <t>イジョウ</t>
    </rPh>
    <phoneticPr fontId="1"/>
  </si>
  <si>
    <t>がん種でチェックが2個以上</t>
    <rPh sb="2" eb="3">
      <t>シュ</t>
    </rPh>
    <phoneticPr fontId="1"/>
  </si>
  <si>
    <t>用法でチェックが2個以上</t>
    <rPh sb="0" eb="2">
      <t>ヨウホウ</t>
    </rPh>
    <phoneticPr fontId="1"/>
  </si>
  <si>
    <t>併用薬でカペシタビン単剤にチェック+がん種でチェックが2個以上</t>
    <rPh sb="0" eb="3">
      <t>ヘイヨウヤク</t>
    </rPh>
    <rPh sb="10" eb="12">
      <t>タンザイ</t>
    </rPh>
    <rPh sb="20" eb="21">
      <t>シュ</t>
    </rPh>
    <phoneticPr fontId="1"/>
  </si>
  <si>
    <t>併用薬でカペシタビン単剤以外にチェック+がん種でチェックが1個以上</t>
    <rPh sb="0" eb="3">
      <t>ヘイヨウヤク</t>
    </rPh>
    <rPh sb="10" eb="12">
      <t>タンザイ</t>
    </rPh>
    <rPh sb="12" eb="14">
      <t>イガイ</t>
    </rPh>
    <rPh sb="22" eb="23">
      <t>シュ</t>
    </rPh>
    <phoneticPr fontId="1"/>
  </si>
  <si>
    <t>併用薬でカペシタビン単剤以外にチェック+用法でチェックが1個以上</t>
    <rPh sb="0" eb="3">
      <t>ヘイヨウヤク</t>
    </rPh>
    <rPh sb="10" eb="12">
      <t>タンザイ</t>
    </rPh>
    <rPh sb="12" eb="14">
      <t>イガイ</t>
    </rPh>
    <rPh sb="20" eb="22">
      <t>ヨウホウ</t>
    </rPh>
    <phoneticPr fontId="1"/>
  </si>
  <si>
    <t>エラー条件</t>
    <rPh sb="3" eb="5">
      <t>ジョウケン</t>
    </rPh>
    <phoneticPr fontId="1"/>
  </si>
  <si>
    <t>TRUEの数</t>
    <rPh sb="5" eb="6">
      <t>カズ</t>
    </rPh>
    <phoneticPr fontId="1"/>
  </si>
  <si>
    <t>最終判定</t>
    <rPh sb="0" eb="4">
      <t>サイシュウハンテイ</t>
    </rPh>
    <phoneticPr fontId="1"/>
  </si>
  <si>
    <t>併用薬にチェックなし+がん種でチェックが1個以上</t>
    <rPh sb="0" eb="3">
      <t>ヘイヨウヤク</t>
    </rPh>
    <rPh sb="13" eb="14">
      <t>シュ</t>
    </rPh>
    <phoneticPr fontId="1"/>
  </si>
  <si>
    <t>併用薬にチェックなし+用法でチェックが1個以上</t>
    <rPh sb="0" eb="3">
      <t>ヘイヨウヤク</t>
    </rPh>
    <rPh sb="11" eb="13">
      <t>ヨウホウ</t>
    </rPh>
    <rPh sb="20" eb="21">
      <t>コ</t>
    </rPh>
    <rPh sb="21" eb="23">
      <t>イジョウ</t>
    </rPh>
    <phoneticPr fontId="1"/>
  </si>
  <si>
    <t>がん種で大腸がんにチェック+用法にチェックが1個以上</t>
    <rPh sb="2" eb="3">
      <t>シュ</t>
    </rPh>
    <rPh sb="4" eb="6">
      <t>ダイチョウ</t>
    </rPh>
    <rPh sb="14" eb="16">
      <t>ヨウホウ</t>
    </rPh>
    <rPh sb="23" eb="26">
      <t>コイジョウ</t>
    </rPh>
    <phoneticPr fontId="1"/>
  </si>
  <si>
    <t>腎機能No.</t>
    <rPh sb="0" eb="3">
      <t>ジンキノウ</t>
    </rPh>
    <phoneticPr fontId="1"/>
  </si>
  <si>
    <t>腎機能</t>
    <rPh sb="0" eb="3">
      <t>ジンキノウ</t>
    </rPh>
    <phoneticPr fontId="1"/>
  </si>
  <si>
    <t>併用薬でカペシタビン単剤にチェック+がん種はチェックなし＋用法でチェックが1個以上</t>
    <rPh sb="20" eb="21">
      <t>シュ</t>
    </rPh>
    <rPh sb="29" eb="31">
      <t>ヨウホウ</t>
    </rPh>
    <phoneticPr fontId="1"/>
  </si>
  <si>
    <t>減量段階1（表3を参考に減量）</t>
    <rPh sb="0" eb="4">
      <t>ゲンリョウダンカイ</t>
    </rPh>
    <rPh sb="6" eb="7">
      <t>ヒョウ</t>
    </rPh>
    <rPh sb="9" eb="11">
      <t>サンコウ</t>
    </rPh>
    <rPh sb="12" eb="14">
      <t>ゲンリョウ</t>
    </rPh>
    <phoneticPr fontId="1"/>
  </si>
  <si>
    <t>算出表</t>
    <rPh sb="0" eb="3">
      <t>サンシュツヒョウ</t>
    </rPh>
    <phoneticPr fontId="1"/>
  </si>
  <si>
    <t>備考（1行目）</t>
    <rPh sb="0" eb="2">
      <t>ビコウ</t>
    </rPh>
    <rPh sb="4" eb="6">
      <t>ギョウメ</t>
    </rPh>
    <phoneticPr fontId="1"/>
  </si>
  <si>
    <t>備考（2行目）</t>
    <rPh sb="0" eb="2">
      <t>ビコウ</t>
    </rPh>
    <rPh sb="4" eb="6">
      <t>ギョウメ</t>
    </rPh>
    <phoneticPr fontId="1"/>
  </si>
  <si>
    <t xml:space="preserve"> 表1を参考に、75%用量で算出</t>
  </si>
  <si>
    <t xml:space="preserve"> 規格上調整が必要なため、適宜医師へ確認してください</t>
    <phoneticPr fontId="1"/>
  </si>
  <si>
    <t xml:space="preserve"> 表1を参考に、75%用量で算出</t>
    <rPh sb="0" eb="1">
      <t>ヒョウ</t>
    </rPh>
    <rPh sb="3" eb="5">
      <t>サンコウ</t>
    </rPh>
    <rPh sb="13" eb="15">
      <t>サンシュツ</t>
    </rPh>
    <phoneticPr fontId="1"/>
  </si>
  <si>
    <t xml:space="preserve"> </t>
  </si>
  <si>
    <t xml:space="preserve"> 腎機能による減量不要</t>
    <rPh sb="1" eb="4">
      <t>ジンキノウ</t>
    </rPh>
    <rPh sb="7" eb="11">
      <t>ゲンリョウフヨウ</t>
    </rPh>
    <phoneticPr fontId="1"/>
  </si>
  <si>
    <t xml:space="preserve"> 減量段階1（表3を参考に減量）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</si>
  <si>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減量段階1（表4を参考に減量）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</si>
  <si>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減量段階1（表5を参考に減量）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</si>
  <si>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減量段階1（表6を参考に減量）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</si>
  <si>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減量段階1（表7を参考に減量）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</si>
  <si>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減量段階1（表8を参考に減量）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</si>
  <si>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 xml:space="preserve"> 減量段階1（表9を参考に減量）</t>
    <rPh sb="1" eb="3">
      <t>ゲンリョウ</t>
    </rPh>
    <rPh sb="3" eb="5">
      <t>ダンカイ</t>
    </rPh>
    <rPh sb="7" eb="8">
      <t>ヒョウ</t>
    </rPh>
    <rPh sb="10" eb="12">
      <t>サンコウ</t>
    </rPh>
    <rPh sb="13" eb="15">
      <t>ゲンリョウ</t>
    </rPh>
    <phoneticPr fontId="1"/>
  </si>
  <si>
    <t>2026年6月15日　京都府病院薬剤師会　改訂（第1版）</t>
    <rPh sb="4" eb="5">
      <t>ネン</t>
    </rPh>
    <rPh sb="6" eb="7">
      <t>ガツ</t>
    </rPh>
    <rPh sb="9" eb="10">
      <t>ヒ</t>
    </rPh>
    <rPh sb="11" eb="20">
      <t>キョウトフビョウインヤクザイシカイ</t>
    </rPh>
    <rPh sb="21" eb="23">
      <t>カイテイ</t>
    </rPh>
    <rPh sb="24" eb="25">
      <t>ダイ</t>
    </rPh>
    <rPh sb="26" eb="27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</si>
</sst>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Segoe UI Symbol"/>
      <family val="3"/>
    </font>
    <font>
      <b/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4"/>
      <color rgb="FF0000FF"/>
      <name val="游ゴシック"/>
      <family val="3"/>
      <charset val="128"/>
    </font>
    <font>
      <sz val="11"/>
      <color theme="1"/>
      <name val="Yu Gothic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4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5" xfId="0" applyFont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5" xfId="0" applyFont="1" applyFill="1" applyBorder="1" applyAlignment="1">
      <alignment vertical="center" shrinkToFit="1"/>
    </xf>
    <xf numFmtId="0" fontId="4" fillId="4" borderId="15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10" fillId="0" borderId="0" xfId="0" applyFont="1" applyAlignment="1">
      <alignment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0" fillId="0" borderId="5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7" fillId="0" borderId="5" xfId="0" applyFont="1" applyBorder="1" applyAlignment="1">
      <alignment horizontal="left" shrinkToFit="1"/>
    </xf>
    <xf numFmtId="0" fontId="4" fillId="0" borderId="5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/>
    <xf numFmtId="0" fontId="2" fillId="3" borderId="15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8" fillId="0" borderId="0" xfId="0" applyFont="1" applyFill="1" applyAlignment="1">
      <alignment shrinkToFit="1"/>
    </xf>
    <xf numFmtId="0" fontId="5" fillId="0" borderId="0" xfId="0" applyFont="1" applyFill="1" applyAlignment="1">
      <alignment horizontal="right" shrinkToFit="1"/>
    </xf>
    <xf numFmtId="0" fontId="7" fillId="0" borderId="2" xfId="0" applyFont="1" applyBorder="1" applyAlignment="1">
      <alignment horizontal="left" vertical="center" shrinkToFit="1"/>
    </xf>
    <xf numFmtId="0" fontId="8" fillId="4" borderId="0" xfId="0" applyFont="1" applyFill="1" applyAlignment="1" applyProtection="1">
      <alignment horizontal="left" shrinkToFit="1"/>
      <protection locked="0"/>
    </xf>
    <xf numFmtId="0" fontId="8" fillId="4" borderId="1" xfId="0" applyFont="1" applyFill="1" applyBorder="1" applyAlignment="1" applyProtection="1">
      <alignment horizontal="left" shrinkToFit="1"/>
      <protection locked="0"/>
    </xf>
    <xf numFmtId="0" fontId="4" fillId="4" borderId="0" xfId="0" applyFont="1" applyFill="1" applyAlignment="1" applyProtection="1">
      <alignment horizontal="left" shrinkToFit="1"/>
      <protection locked="0"/>
    </xf>
    <xf numFmtId="0" fontId="4" fillId="4" borderId="1" xfId="0" applyFont="1" applyFill="1" applyBorder="1" applyAlignment="1" applyProtection="1">
      <alignment horizontal="left" shrinkToFit="1"/>
      <protection locked="0"/>
    </xf>
    <xf numFmtId="0" fontId="7" fillId="0" borderId="0" xfId="0" applyFont="1" applyAlignment="1">
      <alignment horizontal="left" shrinkToFit="1"/>
    </xf>
    <xf numFmtId="2" fontId="6" fillId="5" borderId="0" xfId="0" applyNumberFormat="1" applyFont="1" applyFill="1" applyAlignment="1">
      <alignment horizontal="center" vertical="center" shrinkToFit="1"/>
    </xf>
    <xf numFmtId="0" fontId="7" fillId="0" borderId="25" xfId="0" applyFont="1" applyBorder="1" applyAlignment="1">
      <alignment horizontal="left" shrinkToFit="1"/>
    </xf>
    <xf numFmtId="0" fontId="10" fillId="0" borderId="0" xfId="0" applyFont="1" applyAlignment="1">
      <alignment horizontal="right" shrinkToFit="1"/>
    </xf>
    <xf numFmtId="0" fontId="4" fillId="4" borderId="0" xfId="0" applyFont="1" applyFill="1" applyAlignment="1" applyProtection="1">
      <alignment horizontal="center" shrinkToFit="1"/>
      <protection locked="0"/>
    </xf>
    <xf numFmtId="2" fontId="4" fillId="4" borderId="0" xfId="0" applyNumberFormat="1" applyFont="1" applyFill="1" applyAlignment="1" applyProtection="1">
      <alignment horizontal="center" shrinkToFit="1"/>
      <protection locked="0"/>
    </xf>
    <xf numFmtId="0" fontId="15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 shrinkToFit="1"/>
    </xf>
    <xf numFmtId="0" fontId="18" fillId="5" borderId="1" xfId="0" applyFont="1" applyFill="1" applyBorder="1" applyAlignment="1">
      <alignment horizontal="left" shrinkToFit="1"/>
    </xf>
    <xf numFmtId="0" fontId="19" fillId="5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shrinkToFit="1"/>
    </xf>
    <xf numFmtId="0" fontId="4" fillId="4" borderId="0" xfId="0" applyFont="1" applyFill="1" applyAlignment="1">
      <alignment horizontal="center" vertical="center" shrinkToFit="1"/>
    </xf>
    <xf numFmtId="0" fontId="4" fillId="4" borderId="0" xfId="0" applyFont="1" applyFill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shrinkToFit="1"/>
    </xf>
    <xf numFmtId="176" fontId="6" fillId="5" borderId="0" xfId="0" applyNumberFormat="1" applyFont="1" applyFill="1" applyAlignment="1">
      <alignment horizont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right" vertical="center" shrinkToFit="1"/>
    </xf>
    <xf numFmtId="0" fontId="10" fillId="0" borderId="2" xfId="0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35" xfId="0" applyFont="1" applyBorder="1" applyAlignment="1">
      <alignment horizontal="right" vertical="center" shrinkToFit="1"/>
    </xf>
    <xf numFmtId="0" fontId="10" fillId="0" borderId="36" xfId="0" applyFont="1" applyBorder="1" applyAlignment="1">
      <alignment horizontal="right" vertical="center" shrinkToFit="1"/>
    </xf>
    <xf numFmtId="0" fontId="10" fillId="0" borderId="38" xfId="0" applyFont="1" applyBorder="1" applyAlignment="1">
      <alignment horizontal="right" vertical="center" shrinkToFit="1"/>
    </xf>
    <xf numFmtId="0" fontId="10" fillId="0" borderId="39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44" xfId="0" applyFont="1" applyBorder="1" applyAlignment="1">
      <alignment horizontal="right" vertical="center" shrinkToFit="1"/>
    </xf>
    <xf numFmtId="0" fontId="10" fillId="0" borderId="27" xfId="0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right" vertical="center" shrinkToFit="1"/>
    </xf>
    <xf numFmtId="0" fontId="8" fillId="0" borderId="3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righ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right" vertical="center" shrinkToFit="1"/>
    </xf>
    <xf numFmtId="0" fontId="5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 shrinkToFit="1"/>
    </xf>
    <xf numFmtId="0" fontId="8" fillId="4" borderId="10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8" fillId="4" borderId="11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8" fillId="4" borderId="12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vertical="justify" shrinkToFit="1"/>
    </xf>
    <xf numFmtId="0" fontId="4" fillId="0" borderId="25" xfId="0" applyFont="1" applyBorder="1" applyAlignment="1">
      <alignment horizontal="center" shrinkToFit="1"/>
    </xf>
    <xf numFmtId="0" fontId="12" fillId="0" borderId="0" xfId="0" applyFont="1" applyAlignment="1">
      <alignment horizontal="left" shrinkToFit="1"/>
    </xf>
    <xf numFmtId="0" fontId="9" fillId="0" borderId="0" xfId="0" applyFont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1">
    <cellStyle name="標準" xfId="0" builtinId="0"/>
  </cellStyles>
  <dxfs count="10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fgColor theme="0"/>
          <bgColor theme="0"/>
        </patternFill>
      </fill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/>
        </patternFill>
      </fill>
    </dxf>
    <dxf>
      <font>
        <color rgb="FF0000FF"/>
      </font>
    </dxf>
    <dxf>
      <font>
        <color rgb="FF0000FF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8" tint="0.79998168889431442"/>
        </patternFill>
      </fill>
    </dxf>
    <dxf>
      <font>
        <color theme="1"/>
      </font>
      <fill>
        <patternFill>
          <fgColor theme="0"/>
          <bgColor theme="0"/>
        </patternFill>
      </fill>
    </dxf>
    <dxf>
      <font>
        <b/>
        <i val="0"/>
        <color theme="1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8" tint="0.79998168889431442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FF99"/>
        </patternFill>
      </fill>
    </dxf>
    <dxf>
      <font>
        <color rgb="FFFF0000"/>
      </font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FFFF99"/>
        </patternFill>
      </fill>
    </dxf>
    <dxf>
      <font>
        <b val="0"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color theme="0" tint="-0.14996795556505021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ymbol"/>
        <family val="3"/>
        <scheme val="none"/>
      </font>
      <numFmt numFmtId="0" formatCode="General"/>
      <alignment horizontal="left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ymbol"/>
        <family val="3"/>
        <scheme val="none"/>
      </font>
      <numFmt numFmtId="0" formatCode="General"/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ymbol"/>
        <family val="3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ymbol"/>
        <family val="3"/>
        <scheme val="none"/>
      </font>
      <numFmt numFmtId="0" formatCode="General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ymbol"/>
        <family val="3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データベース!$B$2" lockText="1" noThreeD="1"/>
</file>

<file path=xl/ctrlProps/ctrlProp2.xml><?xml version="1.0" encoding="utf-8"?>
<formControlPr xmlns="http://schemas.microsoft.com/office/spreadsheetml/2009/9/main" objectType="CheckBox" fmlaLink="データベース!$B$3" lockText="1" noThreeD="1"/>
</file>

<file path=xl/ctrlProps/ctrlProp3.xml><?xml version="1.0" encoding="utf-8"?>
<formControlPr xmlns="http://schemas.microsoft.com/office/spreadsheetml/2009/9/main" objectType="CheckBox" fmlaLink="データベース!$B$4" lockText="1" noThreeD="1"/>
</file>

<file path=xl/ctrlProps/ctrlProp4.xml><?xml version="1.0" encoding="utf-8"?>
<formControlPr xmlns="http://schemas.microsoft.com/office/spreadsheetml/2009/9/main" objectType="CheckBox" fmlaLink="データベース!$B$5" lockText="1" noThreeD="1"/>
</file>

<file path=xl/ctrlProps/ctrlProp5.xml><?xml version="1.0" encoding="utf-8"?>
<formControlPr xmlns="http://schemas.microsoft.com/office/spreadsheetml/2009/9/main" objectType="CheckBox" fmlaLink="データベース!$B$8" lockText="1" noThreeD="1"/>
</file>

<file path=xl/ctrlProps/ctrlProp6.xml><?xml version="1.0" encoding="utf-8"?>
<formControlPr xmlns="http://schemas.microsoft.com/office/spreadsheetml/2009/9/main" objectType="CheckBox" fmlaLink="データベース!$B$9" lockText="1" noThreeD="1"/>
</file>

<file path=xl/ctrlProps/ctrlProp7.xml><?xml version="1.0" encoding="utf-8"?>
<formControlPr xmlns="http://schemas.microsoft.com/office/spreadsheetml/2009/9/main" objectType="CheckBox" fmlaLink="データベース!$B$12" lockText="1" noThreeD="1"/>
</file>

<file path=xl/ctrlProps/ctrlProp8.xml><?xml version="1.0" encoding="utf-8"?>
<formControlPr xmlns="http://schemas.microsoft.com/office/spreadsheetml/2009/9/main" objectType="CheckBox" fmlaLink="データベース!$B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133350</xdr:rowOff>
        </xdr:from>
        <xdr:to>
          <xdr:col>21</xdr:col>
          <xdr:colOff>57150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114300</xdr:rowOff>
        </xdr:from>
        <xdr:to>
          <xdr:col>21</xdr:col>
          <xdr:colOff>57150</xdr:colOff>
          <xdr:row>20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114300</xdr:rowOff>
        </xdr:from>
        <xdr:to>
          <xdr:col>21</xdr:col>
          <xdr:colOff>38100</xdr:colOff>
          <xdr:row>22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114300</xdr:rowOff>
        </xdr:from>
        <xdr:to>
          <xdr:col>21</xdr:col>
          <xdr:colOff>38100</xdr:colOff>
          <xdr:row>25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13</xdr:row>
          <xdr:rowOff>133350</xdr:rowOff>
        </xdr:from>
        <xdr:to>
          <xdr:col>40</xdr:col>
          <xdr:colOff>104775</xdr:colOff>
          <xdr:row>15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17</xdr:row>
          <xdr:rowOff>0</xdr:rowOff>
        </xdr:from>
        <xdr:to>
          <xdr:col>40</xdr:col>
          <xdr:colOff>114300</xdr:colOff>
          <xdr:row>18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14</xdr:row>
          <xdr:rowOff>0</xdr:rowOff>
        </xdr:from>
        <xdr:to>
          <xdr:col>60</xdr:col>
          <xdr:colOff>9525</xdr:colOff>
          <xdr:row>15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15</xdr:row>
          <xdr:rowOff>0</xdr:rowOff>
        </xdr:from>
        <xdr:to>
          <xdr:col>60</xdr:col>
          <xdr:colOff>9525</xdr:colOff>
          <xdr:row>16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69</xdr:col>
      <xdr:colOff>0</xdr:colOff>
      <xdr:row>0</xdr:row>
      <xdr:rowOff>126206</xdr:rowOff>
    </xdr:from>
    <xdr:to>
      <xdr:col>92</xdr:col>
      <xdr:colOff>76200</xdr:colOff>
      <xdr:row>11</xdr:row>
      <xdr:rowOff>14287</xdr:rowOff>
    </xdr:to>
    <xdr:sp macro="" textlink="">
      <xdr:nvSpPr>
        <xdr:cNvPr id="10" name="四角形: メ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15350" y="126206"/>
          <a:ext cx="2924175" cy="1726406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使用方法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患者情報（性別、年齢、身長、体重、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SCr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）を入力し、「併用薬・併用療法の確認」の該当箇所にチェックを入れると、カペシタビンの適正用量と減量・中止の必要性が自動表記されます。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2CDA4C-F71C-42DD-AF55-C6A3E4C1D762}" name="テーブル1" displayName="テーブル1" ref="G6:H12" totalsRowShown="0" headerRowDxfId="107" dataDxfId="106">
  <autoFilter ref="G6:H12" xr:uid="{1C2CDA4C-F71C-42DD-AF55-C6A3E4C1D762}"/>
  <tableColumns count="2">
    <tableColumn id="1" xr3:uid="{A8E8DDA7-805E-4FE6-96B3-13A050129FAC}" name="番号" dataDxfId="105"/>
    <tableColumn id="2" xr3:uid="{F4E64B2E-A92B-4212-8225-452F155AB2A0}" name="用法" dataDxfId="10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5B6182-7B0A-4ED6-9621-80226D157A94}" name="テーブル2" displayName="テーブル2" ref="I6:J25" totalsRowShown="0" headerRowDxfId="103">
  <autoFilter ref="I6:J25" xr:uid="{B35B6182-7B0A-4ED6-9621-80226D157A94}"/>
  <tableColumns count="2">
    <tableColumn id="1" xr3:uid="{BD323628-942E-4043-8108-680546C6E010}" name="番号" dataDxfId="102"/>
    <tableColumn id="2" xr3:uid="{11FE0DF4-48FF-4135-BD49-C85969139E75}" name="体表面積" dataDxfId="101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83A3B5-409B-4013-B9DE-935138D10D70}" name="テーブル4" displayName="テーブル4" ref="M6:N9" totalsRowShown="0" headerRowDxfId="100" dataDxfId="99">
  <autoFilter ref="M6:N9" xr:uid="{C683A3B5-409B-4013-B9DE-935138D10D70}"/>
  <tableColumns count="2">
    <tableColumn id="1" xr3:uid="{C29A67AC-B639-4350-970F-3E4ADAE61B24}" name="番号" dataDxfId="98"/>
    <tableColumn id="2" xr3:uid="{7B16ACBD-50A2-4DA1-A384-1D69521F1D8D}" name="1段階減量（用法）" dataDxfId="97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F8F102-76A9-488E-8042-4AA703C51A43}" name="テーブル6" displayName="テーブル6" ref="O6:P14" totalsRowShown="0" headerRowDxfId="96" dataDxfId="95">
  <autoFilter ref="O6:P14" xr:uid="{40F8F102-76A9-488E-8042-4AA703C51A43}"/>
  <tableColumns count="2">
    <tableColumn id="1" xr3:uid="{077EDBF7-607F-4B5F-9814-BFFEF7729227}" name="番号" dataDxfId="94"/>
    <tableColumn id="2" xr3:uid="{D677DB65-E4E1-43E5-B332-9153AB66B2F7}" name="1段階減量（体表面積）" dataDxfId="93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321C65-4D64-4A7C-B2C3-25E4A2B46DE5}" name="テーブル7" displayName="テーブル7" ref="R2:AF38" totalsRowShown="0" headerRowDxfId="92" tableBorderDxfId="91">
  <autoFilter ref="R2:AF38" xr:uid="{96321C65-4D64-4A7C-B2C3-25E4A2B46DE5}"/>
  <tableColumns count="15">
    <tableColumn id="1" xr3:uid="{E9CFFDD1-908D-4EA8-8FAD-724E4101EF5D}" name="用法No." dataDxfId="90"/>
    <tableColumn id="9" xr3:uid="{0B2652EA-1E27-4FE3-A468-7D0C74D15F4B}" name="用法" dataDxfId="89">
      <calculatedColumnFormula>VLOOKUP(テーブル7[[#This Row],[用法No.]],テーブル1[],2,FALSE)</calculatedColumnFormula>
    </tableColumn>
    <tableColumn id="2" xr3:uid="{E89D6926-2C93-4764-881B-6CE3572043B3}" name="体表面積No." dataDxfId="88"/>
    <tableColumn id="10" xr3:uid="{C32944C7-563A-4E7A-8B6C-71AF740F88E4}" name="体表面積" dataDxfId="87">
      <calculatedColumnFormula>VLOOKUP(テーブル7[[#This Row],[体表面積No.]],テーブル2[],2,FALSE)</calculatedColumnFormula>
    </tableColumn>
    <tableColumn id="14" xr3:uid="{EAA573EE-B360-41A5-B7D6-D26DDA6ED12D}" name="腎機能No." dataDxfId="86"/>
    <tableColumn id="13" xr3:uid="{6731586B-5639-4E8B-B2A8-8BEE8BF3A496}" name="腎機能" dataDxfId="85">
      <calculatedColumnFormula>VLOOKUP(テーブル7[[#This Row],[腎機能No.]],テーブル3[],2,FALSE)</calculatedColumnFormula>
    </tableColumn>
    <tableColumn id="3" xr3:uid="{78F91D3D-C1C4-4A2D-B8C6-2D4D0F5D66CD}" name="1段階減量の用法No." dataDxfId="84"/>
    <tableColumn id="11" xr3:uid="{968E561D-DB88-41FB-87F5-CA8E61A16FD8}" name="1段階減量の用法" dataDxfId="83">
      <calculatedColumnFormula>VLOOKUP(テーブル7[[#This Row],[1段階減量の用法No.]],テーブル4[],2,FALSE)</calculatedColumnFormula>
    </tableColumn>
    <tableColumn id="4" xr3:uid="{D2FBDEB2-A18F-4E04-ABB0-1879375F1193}" name="1段階減量の体表面積No." dataDxfId="82"/>
    <tableColumn id="12" xr3:uid="{6018A89D-6976-4F8C-BB17-35B9E737188B}" name="1段階減量の体表面積" dataDxfId="81">
      <calculatedColumnFormula>VLOOKUP(テーブル7[[#This Row],[1段階減量の体表面積No.]],テーブル6[],2,FALSE)</calculatedColumnFormula>
    </tableColumn>
    <tableColumn id="5" xr3:uid="{372635ED-69C3-4D48-B3B0-07D4F1198477}" name="通し番号合算" dataDxfId="80">
      <calculatedColumnFormula>R3&amp;T3&amp;V3&amp;X3&amp;Z3</calculatedColumnFormula>
    </tableColumn>
    <tableColumn id="6" xr3:uid="{A85FD2DB-5248-48CB-9350-CBB669325727}" name="1回量" dataDxfId="79"/>
    <tableColumn id="7" xr3:uid="{9DEE2B1F-8B7A-4D2D-92AA-5C8C73B293F6}" name="1日量" dataDxfId="78"/>
    <tableColumn id="8" xr3:uid="{C398DE37-D267-4604-A3DD-160FBE7871B2}" name="備考（1行目）" dataDxfId="77"/>
    <tableColumn id="15" xr3:uid="{7CB72462-01E8-42FC-9CEC-A36C5E7FF323}" name="備考（2行目）" dataDxfId="7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010C7CC-F233-4208-B434-CC2E5C365C24}" name="テーブル8" displayName="テーブル8" ref="G2:P3" totalsRowShown="0" headerRowDxfId="75" dataDxfId="74">
  <autoFilter ref="G2:P3" xr:uid="{6010C7CC-F233-4208-B434-CC2E5C365C24}"/>
  <tableColumns count="10">
    <tableColumn id="1" xr3:uid="{A528C21F-FF13-461E-9AD4-17D858B32599}" name="用法" dataDxfId="73">
      <calculatedColumnFormula>IFERROR(MATCH("☑",カペシタビン!B35:B52,0),"0")</calculatedColumnFormula>
    </tableColumn>
    <tableColumn id="2" xr3:uid="{FAA47ADA-9296-4D56-BAC3-D0F8AE089B74}" name="体表面積" dataDxfId="72">
      <calculatedColumnFormula>IFERROR(MATCH("☑",カペシタビン!H35:H52,0),"0")</calculatedColumnFormula>
    </tableColumn>
    <tableColumn id="9" xr3:uid="{DBDE513F-CCC9-461B-9201-43F23A3F427E}" name="腎機能" dataDxfId="71">
      <calculatedColumnFormula>IFERROR(MATCH("☑",カペシタビン!AI35:AI38,0),"0")</calculatedColumnFormula>
    </tableColumn>
    <tableColumn id="3" xr3:uid="{D6884A24-7AD3-4022-8E87-2D298184F200}" name="1段階減量の用法" dataDxfId="70">
      <calculatedColumnFormula>IFERROR(MATCH("☑",カペシタビン!AI44:AI50,0),"0")</calculatedColumnFormula>
    </tableColumn>
    <tableColumn id="4" xr3:uid="{D1A9E1B5-5717-48E4-8A12-0314BAEC5047}" name="1段階減量の体表面積" dataDxfId="69">
      <calculatedColumnFormula>IFERROR(MATCH("☑",カペシタビン!AO44:AO50,0),"0")</calculatedColumnFormula>
    </tableColumn>
    <tableColumn id="5" xr3:uid="{2D3CE133-98DC-424A-BC1D-9F898568BA2B}" name="通し番号合算" dataDxfId="68">
      <calculatedColumnFormula>G3&amp;H3&amp;I3&amp;J3&amp;K3</calculatedColumnFormula>
    </tableColumn>
    <tableColumn id="6" xr3:uid="{669C3C51-69E2-4539-96E4-895BB0B5688B}" name="1回量" dataDxfId="67">
      <calculatedColumnFormula>IFERROR(VLOOKUP(テーブル8[[#This Row],[通し番号合算]],テーブル7[[通し番号合算]:[備考（2行目）]],2,FALSE),"")</calculatedColumnFormula>
    </tableColumn>
    <tableColumn id="7" xr3:uid="{E9D9DD12-398D-4AD2-BECD-A790E9257949}" name="1日量" dataDxfId="66">
      <calculatedColumnFormula>IFERROR(VLOOKUP(テーブル8[[#This Row],[通し番号合算]],テーブル7[[通し番号合算]:[備考（2行目）]],3,FALSE),"")</calculatedColumnFormula>
    </tableColumn>
    <tableColumn id="8" xr3:uid="{046E1D39-718F-4AE0-A886-72757E4CBE48}" name="備考（1行目）" dataDxfId="65">
      <calculatedColumnFormula>IFERROR(VLOOKUP(テーブル8[[#This Row],[通し番号合算]],テーブル7[[通し番号合算]:[備考（2行目）]],4,FALSE),"")</calculatedColumnFormula>
    </tableColumn>
    <tableColumn id="10" xr3:uid="{63697955-803B-43C0-8DFD-4DB6203C095F}" name="備考（2行目）" dataDxfId="64">
      <calculatedColumnFormula>IFERROR(VLOOKUP(テーブル8[[#This Row],[通し番号合算]],テーブル7[[通し番号合算]:[備考（2行目）]],5,FALSE),"")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37527-9A1C-43D4-81A6-B64FAAF8E411}" name="テーブル3" displayName="テーブル3" ref="K6:L10" totalsRowShown="0" headerRowDxfId="63" dataDxfId="62">
  <autoFilter ref="K6:L10" xr:uid="{DA037527-9A1C-43D4-81A6-B64FAAF8E411}"/>
  <tableColumns count="2">
    <tableColumn id="1" xr3:uid="{E780041F-2283-4383-8363-7508D15020FA}" name="腎機能No." dataDxfId="61"/>
    <tableColumn id="2" xr3:uid="{600F7BDC-2A8A-4C5E-9CA3-B981CD7A7B90}" name="腎機能" dataDxfId="6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F705-10DD-47A7-AD2B-E0350AA61D00}">
  <sheetPr>
    <pageSetUpPr fitToPage="1"/>
  </sheetPr>
  <dimension ref="A1:BN186"/>
  <sheetViews>
    <sheetView showGridLines="0" tabSelected="1" view="pageBreakPreview" zoomScaleNormal="100" zoomScaleSheetLayoutView="100" workbookViewId="0">
      <selection sqref="A1:AL2"/>
    </sheetView>
  </sheetViews>
  <sheetFormatPr defaultColWidth="8.875" defaultRowHeight="18.75"/>
  <cols>
    <col min="1" max="57" width="1.625" style="1" customWidth="1"/>
    <col min="58" max="58" width="1.5" style="1" customWidth="1"/>
    <col min="59" max="63" width="1.625" style="1" customWidth="1"/>
    <col min="64" max="65" width="1.5" style="1" customWidth="1"/>
    <col min="66" max="94" width="1.625" style="1" customWidth="1"/>
    <col min="95" max="16384" width="8.875" style="1"/>
  </cols>
  <sheetData>
    <row r="1" spans="1:66" ht="12" customHeight="1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4" t="s">
        <v>41</v>
      </c>
      <c r="AN1" s="204"/>
      <c r="AO1" s="204"/>
      <c r="AP1" s="204"/>
      <c r="AQ1" s="51"/>
      <c r="AR1" s="51"/>
      <c r="AS1" s="51"/>
      <c r="AT1" s="51"/>
      <c r="AU1" s="51"/>
      <c r="AV1" s="51"/>
      <c r="AW1" s="51"/>
      <c r="AX1" s="51"/>
      <c r="AY1" s="204" t="s">
        <v>42</v>
      </c>
      <c r="AZ1" s="204"/>
      <c r="BA1" s="204"/>
      <c r="BB1" s="204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spans="1:66" ht="17.2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5"/>
      <c r="AN2" s="205"/>
      <c r="AO2" s="205"/>
      <c r="AP2" s="205"/>
      <c r="AQ2" s="52"/>
      <c r="AR2" s="52"/>
      <c r="AS2" s="52"/>
      <c r="AT2" s="52"/>
      <c r="AU2" s="52"/>
      <c r="AV2" s="52"/>
      <c r="AW2" s="52"/>
      <c r="AX2" s="52"/>
      <c r="AY2" s="205"/>
      <c r="AZ2" s="205"/>
      <c r="BA2" s="205"/>
      <c r="BB2" s="205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</row>
    <row r="3" spans="1:66" ht="16.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</row>
    <row r="4" spans="1:66" ht="18.75" customHeight="1">
      <c r="A4" s="209" t="s">
        <v>83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</row>
    <row r="5" spans="1:66" ht="7.5" customHeight="1">
      <c r="A5" s="24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</row>
    <row r="6" spans="1:66" ht="5.25" customHeight="1">
      <c r="A6" s="24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26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8"/>
      <c r="BN6" s="25"/>
    </row>
    <row r="7" spans="1:66" ht="21.75" customHeight="1">
      <c r="B7" s="58" t="s">
        <v>51</v>
      </c>
      <c r="C7" s="58"/>
      <c r="D7" s="58"/>
      <c r="E7" s="58"/>
      <c r="F7" s="58"/>
      <c r="G7" s="59"/>
      <c r="H7" s="59"/>
      <c r="I7" s="59"/>
      <c r="J7" s="59"/>
      <c r="K7" s="201"/>
      <c r="L7" s="201"/>
      <c r="M7" s="201"/>
      <c r="N7" s="58" t="s">
        <v>43</v>
      </c>
      <c r="O7" s="58"/>
      <c r="P7" s="58"/>
      <c r="Q7" s="58"/>
      <c r="R7" s="58"/>
      <c r="S7" s="59"/>
      <c r="T7" s="59"/>
      <c r="U7" s="59"/>
      <c r="V7" s="59"/>
      <c r="W7" s="55" t="s">
        <v>44</v>
      </c>
      <c r="X7" s="55"/>
      <c r="Y7" s="55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207"/>
      <c r="AR7" s="30"/>
      <c r="AS7" s="67" t="s">
        <v>52</v>
      </c>
      <c r="AT7" s="67"/>
      <c r="AU7" s="67"/>
      <c r="AV7" s="67"/>
      <c r="AW7" s="67"/>
      <c r="AX7" s="67"/>
      <c r="AY7" s="67"/>
      <c r="AZ7" s="56" t="str">
        <f>IF(G9="","",IF(S9="","",ROUND((S9^0.425*G9^0.725*0.007184),2)))</f>
        <v/>
      </c>
      <c r="BA7" s="56"/>
      <c r="BB7" s="56"/>
      <c r="BC7" s="56"/>
      <c r="BD7" s="55" t="s">
        <v>59</v>
      </c>
      <c r="BE7" s="55"/>
      <c r="BF7" s="55"/>
      <c r="BG7" s="55"/>
      <c r="BH7" s="55"/>
      <c r="BI7" s="55"/>
      <c r="BJ7" s="55"/>
      <c r="BK7" s="55"/>
      <c r="BL7" s="55"/>
      <c r="BM7" s="57"/>
    </row>
    <row r="8" spans="1:66" ht="11.25" customHeight="1">
      <c r="A8" s="2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207"/>
      <c r="AR8" s="30"/>
      <c r="BM8" s="31"/>
    </row>
    <row r="9" spans="1:66" ht="22.5" customHeight="1">
      <c r="B9" s="58" t="s">
        <v>45</v>
      </c>
      <c r="C9" s="58"/>
      <c r="D9" s="58"/>
      <c r="E9" s="58"/>
      <c r="F9" s="58"/>
      <c r="G9" s="59"/>
      <c r="H9" s="59"/>
      <c r="I9" s="59"/>
      <c r="J9" s="59"/>
      <c r="K9" s="55" t="s">
        <v>46</v>
      </c>
      <c r="L9" s="55"/>
      <c r="M9" s="55"/>
      <c r="N9" s="58" t="s">
        <v>47</v>
      </c>
      <c r="O9" s="58"/>
      <c r="P9" s="58"/>
      <c r="Q9" s="58"/>
      <c r="R9" s="58"/>
      <c r="S9" s="59"/>
      <c r="T9" s="59"/>
      <c r="U9" s="59"/>
      <c r="V9" s="59"/>
      <c r="W9" s="55" t="s">
        <v>48</v>
      </c>
      <c r="X9" s="55"/>
      <c r="Y9" s="55"/>
      <c r="Z9" s="58" t="s">
        <v>49</v>
      </c>
      <c r="AA9" s="58"/>
      <c r="AB9" s="58"/>
      <c r="AC9" s="58"/>
      <c r="AD9" s="60"/>
      <c r="AE9" s="60"/>
      <c r="AF9" s="60"/>
      <c r="AG9" s="60"/>
      <c r="AH9" s="55" t="s">
        <v>50</v>
      </c>
      <c r="AI9" s="55"/>
      <c r="AJ9" s="55"/>
      <c r="AK9" s="55"/>
      <c r="AL9" s="55"/>
      <c r="AM9" s="55"/>
      <c r="AN9" s="55"/>
      <c r="AO9" s="55"/>
      <c r="AP9" s="55"/>
      <c r="AQ9" s="57"/>
      <c r="AR9" s="30"/>
      <c r="AS9" s="67" t="s">
        <v>54</v>
      </c>
      <c r="AT9" s="67"/>
      <c r="AU9" s="67"/>
      <c r="AV9" s="67"/>
      <c r="AW9" s="67"/>
      <c r="AX9" s="67"/>
      <c r="AY9" s="67"/>
      <c r="AZ9" s="72" t="str">
        <f>IFERROR(IF(G7="男",ROUND((140-S7)*S9/(72*AD9),2),ROUND(0.85*((140-S7)*S9/(72*AD9)),2)),"")</f>
        <v/>
      </c>
      <c r="BA9" s="72"/>
      <c r="BB9" s="72"/>
      <c r="BC9" s="72"/>
      <c r="BD9" s="55" t="s">
        <v>53</v>
      </c>
      <c r="BE9" s="55"/>
      <c r="BF9" s="55"/>
      <c r="BG9" s="55"/>
      <c r="BM9" s="31"/>
    </row>
    <row r="10" spans="1:66" ht="6" customHeight="1">
      <c r="A10" s="29"/>
      <c r="B10" s="200"/>
      <c r="C10" s="200"/>
      <c r="D10" s="200"/>
      <c r="E10" s="200"/>
      <c r="F10" s="200"/>
      <c r="G10" s="199"/>
      <c r="H10" s="199"/>
      <c r="I10" s="199"/>
      <c r="J10" s="199"/>
      <c r="K10" s="201"/>
      <c r="L10" s="201"/>
      <c r="M10" s="201"/>
      <c r="N10" s="201"/>
      <c r="O10" s="201"/>
      <c r="P10" s="201"/>
      <c r="Q10" s="201"/>
      <c r="R10" s="201"/>
      <c r="S10" s="199"/>
      <c r="T10" s="199"/>
      <c r="U10" s="199"/>
      <c r="V10" s="199"/>
      <c r="W10" s="201"/>
      <c r="X10" s="201"/>
      <c r="Y10" s="201"/>
      <c r="Z10" s="201"/>
      <c r="AA10" s="201"/>
      <c r="AB10" s="201"/>
      <c r="AC10" s="201"/>
      <c r="AD10" s="199"/>
      <c r="AE10" s="199"/>
      <c r="AF10" s="199"/>
      <c r="AG10" s="199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32"/>
      <c r="AS10" s="33"/>
      <c r="AT10" s="33"/>
      <c r="AU10" s="33"/>
      <c r="AV10" s="33"/>
      <c r="AW10" s="33"/>
      <c r="AX10" s="33"/>
      <c r="AY10" s="33"/>
      <c r="AZ10" s="34"/>
      <c r="BA10" s="34"/>
      <c r="BB10" s="34"/>
      <c r="BC10" s="34"/>
      <c r="BD10" s="35"/>
      <c r="BE10" s="35"/>
      <c r="BF10" s="35"/>
      <c r="BG10" s="35"/>
      <c r="BH10" s="36"/>
      <c r="BI10" s="36"/>
      <c r="BJ10" s="36"/>
      <c r="BK10" s="36"/>
      <c r="BL10" s="36"/>
      <c r="BM10" s="37"/>
    </row>
    <row r="11" spans="1:66" ht="6" customHeight="1">
      <c r="B11" s="200"/>
      <c r="C11" s="200"/>
      <c r="D11" s="200"/>
      <c r="E11" s="200"/>
      <c r="F11" s="200"/>
      <c r="G11" s="199"/>
      <c r="H11" s="199"/>
      <c r="I11" s="199"/>
      <c r="J11" s="199"/>
      <c r="K11" s="201"/>
      <c r="L11" s="201"/>
      <c r="M11" s="201"/>
      <c r="N11" s="201"/>
      <c r="O11" s="201"/>
      <c r="P11" s="201"/>
      <c r="Q11" s="201"/>
      <c r="R11" s="201"/>
      <c r="S11" s="199"/>
      <c r="T11" s="199"/>
      <c r="U11" s="199"/>
      <c r="V11" s="199"/>
      <c r="W11" s="201"/>
      <c r="X11" s="201"/>
      <c r="Y11" s="201"/>
      <c r="Z11" s="201"/>
      <c r="AA11" s="201"/>
      <c r="AB11" s="201"/>
      <c r="AC11" s="201"/>
      <c r="AD11" s="199"/>
      <c r="AE11" s="199"/>
      <c r="AF11" s="199"/>
      <c r="AG11" s="199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</row>
    <row r="12" spans="1:66" ht="6" customHeight="1">
      <c r="B12" s="200"/>
      <c r="C12" s="200"/>
      <c r="D12" s="200"/>
      <c r="E12" s="200"/>
      <c r="F12" s="200"/>
      <c r="G12" s="199"/>
      <c r="H12" s="199"/>
      <c r="I12" s="199"/>
      <c r="J12" s="199"/>
      <c r="K12" s="201"/>
      <c r="L12" s="201"/>
      <c r="M12" s="201"/>
      <c r="N12" s="201"/>
      <c r="O12" s="201"/>
      <c r="P12" s="201"/>
      <c r="Q12" s="201"/>
      <c r="R12" s="201"/>
      <c r="S12" s="199"/>
      <c r="T12" s="199"/>
      <c r="U12" s="199"/>
      <c r="V12" s="199"/>
      <c r="W12" s="201"/>
      <c r="X12" s="201"/>
      <c r="Y12" s="201"/>
      <c r="Z12" s="201"/>
      <c r="AA12" s="201"/>
      <c r="AB12" s="201"/>
      <c r="AC12" s="201"/>
      <c r="AD12" s="199"/>
      <c r="AE12" s="199"/>
      <c r="AF12" s="199"/>
      <c r="AG12" s="199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</row>
    <row r="13" spans="1:66" ht="18.75" customHeight="1">
      <c r="A13" s="66" t="s">
        <v>17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 t="str">
        <f>IF(データベース!E27="ERROR"," ※ ERROR！ 以下の用法の選択で不備があります。","")</f>
        <v/>
      </c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</row>
    <row r="14" spans="1:66" ht="11.25" customHeight="1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</row>
    <row r="15" spans="1:66" ht="18.75" customHeight="1">
      <c r="B15" s="68"/>
      <c r="C15" s="68"/>
      <c r="D15" s="69" t="s">
        <v>13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70" t="s">
        <v>1</v>
      </c>
      <c r="X15" s="70"/>
      <c r="Y15" s="70"/>
      <c r="Z15" s="61" t="s">
        <v>9</v>
      </c>
      <c r="AA15" s="61"/>
      <c r="AB15" s="61"/>
      <c r="AC15" s="61"/>
      <c r="AD15" s="61"/>
      <c r="AE15" s="61"/>
      <c r="AF15" s="61"/>
      <c r="AG15" s="61"/>
      <c r="AH15" s="40"/>
      <c r="AI15" s="63"/>
      <c r="AJ15" s="63"/>
      <c r="AK15" s="61" t="s">
        <v>57</v>
      </c>
      <c r="AL15" s="61"/>
      <c r="AM15" s="61"/>
      <c r="AN15" s="61"/>
      <c r="AO15" s="61"/>
      <c r="AP15" s="61"/>
      <c r="AQ15" s="62" t="s">
        <v>1</v>
      </c>
      <c r="AR15" s="62"/>
      <c r="AS15" s="62"/>
      <c r="AT15" s="63"/>
      <c r="AU15" s="63"/>
      <c r="AV15" s="61" t="s">
        <v>81</v>
      </c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41"/>
      <c r="BL15" s="41"/>
      <c r="BM15" s="41"/>
      <c r="BN15" s="41"/>
    </row>
    <row r="16" spans="1:66" ht="18.75" customHeight="1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1" t="s">
        <v>16</v>
      </c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41"/>
      <c r="AS16" s="41"/>
      <c r="AT16" s="63"/>
      <c r="AU16" s="63"/>
      <c r="AV16" s="61" t="s">
        <v>82</v>
      </c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41"/>
      <c r="BL16" s="41"/>
      <c r="BM16" s="41"/>
      <c r="BN16" s="41"/>
    </row>
    <row r="17" spans="1:66" ht="9.75" customHeight="1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</row>
    <row r="18" spans="1:66" ht="18.75" customHeight="1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63"/>
      <c r="AJ18" s="63"/>
      <c r="AK18" s="61" t="s">
        <v>58</v>
      </c>
      <c r="AL18" s="61"/>
      <c r="AM18" s="61"/>
      <c r="AN18" s="61"/>
      <c r="AO18" s="61"/>
      <c r="AP18" s="61"/>
      <c r="AQ18" s="62" t="s">
        <v>1</v>
      </c>
      <c r="AR18" s="62"/>
      <c r="AS18" s="62"/>
      <c r="AT18" s="76" t="str">
        <f>IF(データベース!B9=TRUE,"☑","□ ")</f>
        <v xml:space="preserve">□ </v>
      </c>
      <c r="AU18" s="76"/>
      <c r="AV18" s="61" t="s">
        <v>82</v>
      </c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41"/>
      <c r="BL18" s="41"/>
      <c r="BM18" s="41"/>
      <c r="BN18" s="41"/>
    </row>
    <row r="19" spans="1:66" ht="9.75" customHeight="1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</row>
    <row r="20" spans="1:66" ht="18.75" customHeight="1">
      <c r="B20" s="68"/>
      <c r="C20" s="68"/>
      <c r="D20" s="69" t="s">
        <v>11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0" t="s">
        <v>1</v>
      </c>
      <c r="X20" s="70"/>
      <c r="Y20" s="70"/>
      <c r="Z20" s="75" t="str">
        <f>IF(データベース!B3=TRUE,"☑","□ ")</f>
        <v xml:space="preserve">□ </v>
      </c>
      <c r="AA20" s="75"/>
      <c r="AB20" s="73" t="s">
        <v>62</v>
      </c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4" t="s">
        <v>15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</row>
    <row r="21" spans="1:66" ht="9.75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</row>
    <row r="22" spans="1:66" ht="18.75" customHeight="1">
      <c r="B22" s="68"/>
      <c r="C22" s="68"/>
      <c r="D22" s="69" t="s">
        <v>12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 t="s">
        <v>1</v>
      </c>
      <c r="X22" s="70"/>
      <c r="Y22" s="70"/>
      <c r="Z22" s="75" t="str">
        <f>IF(データベース!B4=TRUE,"☑","□ ")</f>
        <v xml:space="preserve">□ </v>
      </c>
      <c r="AA22" s="75"/>
      <c r="AB22" s="73" t="s">
        <v>63</v>
      </c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4" t="s">
        <v>73</v>
      </c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</row>
    <row r="23" spans="1:66" ht="18.75" customHeight="1">
      <c r="B23" s="75"/>
      <c r="C23" s="75"/>
      <c r="D23" s="75"/>
      <c r="E23" s="203" t="s">
        <v>74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</row>
    <row r="24" spans="1:66" ht="9.75" customHeight="1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</row>
    <row r="25" spans="1:66" ht="18.75" customHeight="1">
      <c r="B25" s="68"/>
      <c r="C25" s="68"/>
      <c r="D25" s="69" t="s">
        <v>14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0" t="s">
        <v>1</v>
      </c>
      <c r="X25" s="70"/>
      <c r="Y25" s="70"/>
      <c r="Z25" s="75" t="str">
        <f>IF(データベース!B5=TRUE,"☑","□ ")</f>
        <v xml:space="preserve">□ </v>
      </c>
      <c r="AA25" s="75"/>
      <c r="AB25" s="73" t="s">
        <v>64</v>
      </c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4" t="s">
        <v>2</v>
      </c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</row>
    <row r="26" spans="1:66" ht="21" customHeight="1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</row>
    <row r="27" spans="1:66" ht="27.75" customHeight="1">
      <c r="A27" s="88" t="s">
        <v>10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</row>
    <row r="28" spans="1:66" ht="16.5" customHeight="1">
      <c r="A28" s="24"/>
      <c r="B28" s="75"/>
      <c r="C28" s="75"/>
      <c r="D28" s="75"/>
      <c r="E28" s="75"/>
      <c r="F28" s="75"/>
      <c r="G28" s="198"/>
      <c r="H28" s="198"/>
      <c r="I28" s="198"/>
      <c r="J28" s="198"/>
      <c r="K28" s="198"/>
      <c r="L28" s="75"/>
      <c r="M28" s="75"/>
      <c r="N28" s="75"/>
      <c r="O28" s="75"/>
      <c r="P28" s="75"/>
      <c r="Q28" s="75"/>
      <c r="R28" s="75"/>
      <c r="S28" s="75"/>
      <c r="T28" s="75"/>
      <c r="U28" s="198"/>
      <c r="V28" s="198"/>
      <c r="W28" s="198"/>
      <c r="X28" s="198"/>
      <c r="Y28" s="198"/>
      <c r="Z28" s="75"/>
      <c r="AA28" s="75"/>
      <c r="AB28" s="75"/>
      <c r="AC28" s="75"/>
      <c r="AD28" s="75"/>
      <c r="AE28" s="75"/>
      <c r="AF28" s="75"/>
      <c r="AG28" s="75"/>
      <c r="AH28" s="65" t="str">
        <f>データベース!O3</f>
        <v/>
      </c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48"/>
    </row>
    <row r="29" spans="1:66" ht="9.75" customHeight="1">
      <c r="B29" s="132" t="s">
        <v>70</v>
      </c>
      <c r="C29" s="132"/>
      <c r="D29" s="132"/>
      <c r="E29" s="132"/>
      <c r="F29" s="132"/>
      <c r="G29" s="83" t="str">
        <f>IF(AI38="☑","禁忌",IF(データベース!E27="ERROR","ERROR",データベース!M3))</f>
        <v/>
      </c>
      <c r="H29" s="83"/>
      <c r="I29" s="83"/>
      <c r="J29" s="83"/>
      <c r="K29" s="83"/>
      <c r="L29" s="202" t="str">
        <f>IF(OR(G29="禁忌",G29="ERROR"),"","mg")</f>
        <v>mg</v>
      </c>
      <c r="M29" s="202"/>
      <c r="N29" s="202"/>
      <c r="O29" s="202"/>
      <c r="P29" s="132" t="s">
        <v>71</v>
      </c>
      <c r="Q29" s="132"/>
      <c r="R29" s="132"/>
      <c r="S29" s="132"/>
      <c r="T29" s="132"/>
      <c r="U29" s="83" t="str">
        <f>IF(AI38="☑","禁忌",IF(G29="ERROR","ERROR",データベース!N3))</f>
        <v/>
      </c>
      <c r="V29" s="83"/>
      <c r="W29" s="83"/>
      <c r="X29" s="83"/>
      <c r="Y29" s="83"/>
      <c r="Z29" s="202" t="str">
        <f>IF(OR(U29="禁忌",U29="ERROR"),"","mg")</f>
        <v>mg</v>
      </c>
      <c r="AA29" s="202"/>
      <c r="AB29" s="202"/>
      <c r="AC29" s="202"/>
      <c r="AD29" s="132" t="s">
        <v>84</v>
      </c>
      <c r="AE29" s="132"/>
      <c r="AF29" s="132"/>
      <c r="AG29" s="132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49"/>
    </row>
    <row r="30" spans="1:66" ht="20.25" customHeight="1">
      <c r="B30" s="132"/>
      <c r="C30" s="132"/>
      <c r="D30" s="132"/>
      <c r="E30" s="132"/>
      <c r="F30" s="132"/>
      <c r="G30" s="83"/>
      <c r="H30" s="83"/>
      <c r="I30" s="83"/>
      <c r="J30" s="83"/>
      <c r="K30" s="83"/>
      <c r="L30" s="202"/>
      <c r="M30" s="202"/>
      <c r="N30" s="202"/>
      <c r="O30" s="202"/>
      <c r="P30" s="132"/>
      <c r="Q30" s="132"/>
      <c r="R30" s="132"/>
      <c r="S30" s="132"/>
      <c r="T30" s="132"/>
      <c r="U30" s="83"/>
      <c r="V30" s="83"/>
      <c r="W30" s="83"/>
      <c r="X30" s="83"/>
      <c r="Y30" s="83"/>
      <c r="Z30" s="202"/>
      <c r="AA30" s="202"/>
      <c r="AB30" s="202"/>
      <c r="AC30" s="202"/>
      <c r="AD30" s="132"/>
      <c r="AE30" s="132"/>
      <c r="AF30" s="132"/>
      <c r="AG30" s="132"/>
      <c r="AH30" s="64" t="str">
        <f>IF(G29="禁忌","CCr：30 mL/min未満のため禁忌",IF(G29="ERROR","  ERROR！用法の選択で不備があります。",データベース!P3))</f>
        <v/>
      </c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49"/>
    </row>
    <row r="31" spans="1:66" ht="18.75" customHeight="1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4"/>
      <c r="AH31" s="134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42"/>
    </row>
    <row r="32" spans="1:66" ht="11.25" customHeight="1">
      <c r="B32" s="86" t="s">
        <v>98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75"/>
      <c r="AH32" s="75"/>
      <c r="AI32" s="86" t="s">
        <v>79</v>
      </c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</row>
    <row r="33" spans="2:65" ht="11.25" customHeight="1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75"/>
      <c r="AH33" s="75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2:65" ht="22.5" customHeight="1">
      <c r="B34" s="77" t="s">
        <v>75</v>
      </c>
      <c r="C34" s="78"/>
      <c r="D34" s="78"/>
      <c r="E34" s="78"/>
      <c r="F34" s="78"/>
      <c r="G34" s="85"/>
      <c r="H34" s="77" t="s">
        <v>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85"/>
      <c r="U34" s="77" t="s">
        <v>19</v>
      </c>
      <c r="V34" s="78"/>
      <c r="W34" s="78"/>
      <c r="X34" s="78"/>
      <c r="Y34" s="78"/>
      <c r="Z34" s="79"/>
      <c r="AA34" s="84" t="s">
        <v>18</v>
      </c>
      <c r="AB34" s="78"/>
      <c r="AC34" s="78"/>
      <c r="AD34" s="78"/>
      <c r="AE34" s="78"/>
      <c r="AF34" s="85"/>
      <c r="AG34" s="210"/>
      <c r="AH34" s="75"/>
      <c r="AI34" s="80" t="s">
        <v>5</v>
      </c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2"/>
      <c r="AX34" s="80" t="s">
        <v>4</v>
      </c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</row>
    <row r="35" spans="2:65" ht="22.5" customHeight="1">
      <c r="B35" s="97" t="str">
        <f>IF(OR(AI38="☑",データベース!E27="ERROR"),"□",IF(データベース!B12=TRUE,"☑","□"))</f>
        <v>□</v>
      </c>
      <c r="C35" s="98"/>
      <c r="D35" s="98"/>
      <c r="E35" s="103" t="s">
        <v>34</v>
      </c>
      <c r="F35" s="103"/>
      <c r="G35" s="104"/>
      <c r="H35" s="113" t="str">
        <f>IF(AZ7="","□",IF(AND(B35="☑",AZ7&lt;1.31),"☑","□"))</f>
        <v>□</v>
      </c>
      <c r="I35" s="114"/>
      <c r="J35" s="89" t="s">
        <v>20</v>
      </c>
      <c r="K35" s="89"/>
      <c r="L35" s="89"/>
      <c r="M35" s="89"/>
      <c r="N35" s="89"/>
      <c r="O35" s="89"/>
      <c r="P35" s="89"/>
      <c r="Q35" s="89"/>
      <c r="R35" s="89"/>
      <c r="S35" s="89"/>
      <c r="T35" s="124"/>
      <c r="U35" s="107">
        <v>900</v>
      </c>
      <c r="V35" s="108"/>
      <c r="W35" s="108"/>
      <c r="X35" s="108"/>
      <c r="Y35" s="89" t="s">
        <v>56</v>
      </c>
      <c r="Z35" s="90"/>
      <c r="AA35" s="121">
        <v>1800</v>
      </c>
      <c r="AB35" s="108"/>
      <c r="AC35" s="108"/>
      <c r="AD35" s="108"/>
      <c r="AE35" s="89" t="s">
        <v>55</v>
      </c>
      <c r="AF35" s="124"/>
      <c r="AG35" s="210"/>
      <c r="AH35" s="75"/>
      <c r="AI35" s="135" t="str">
        <f>IF(OR(AZ9="",データベース!E27="ERROR"),"□",IF(AZ9&gt;=51,"☑","□"))</f>
        <v>□</v>
      </c>
      <c r="AJ35" s="136"/>
      <c r="AK35" s="74" t="s">
        <v>39</v>
      </c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146"/>
      <c r="AX35" s="140" t="s">
        <v>6</v>
      </c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2"/>
    </row>
    <row r="36" spans="2:65" ht="22.5" customHeight="1">
      <c r="B36" s="99"/>
      <c r="C36" s="100"/>
      <c r="D36" s="100"/>
      <c r="E36" s="105"/>
      <c r="F36" s="105"/>
      <c r="G36" s="106"/>
      <c r="H36" s="95" t="str">
        <f>IF(AZ7="","□",IF(AND(B35="☑",AZ7&lt;1.64,AZ7&gt;=1.31),"☑","□"))</f>
        <v>□</v>
      </c>
      <c r="I36" s="96"/>
      <c r="J36" s="91" t="s">
        <v>21</v>
      </c>
      <c r="K36" s="91"/>
      <c r="L36" s="91"/>
      <c r="M36" s="91"/>
      <c r="N36" s="91"/>
      <c r="O36" s="91"/>
      <c r="P36" s="91"/>
      <c r="Q36" s="91"/>
      <c r="R36" s="91"/>
      <c r="S36" s="91"/>
      <c r="T36" s="115"/>
      <c r="U36" s="109">
        <v>1200</v>
      </c>
      <c r="V36" s="110"/>
      <c r="W36" s="110"/>
      <c r="X36" s="110"/>
      <c r="Y36" s="91" t="s">
        <v>56</v>
      </c>
      <c r="Z36" s="92"/>
      <c r="AA36" s="119">
        <v>2400</v>
      </c>
      <c r="AB36" s="110"/>
      <c r="AC36" s="110"/>
      <c r="AD36" s="110"/>
      <c r="AE36" s="91" t="s">
        <v>55</v>
      </c>
      <c r="AF36" s="115"/>
      <c r="AG36" s="210"/>
      <c r="AH36" s="75"/>
      <c r="AI36" s="152" t="str">
        <f>IF(OR(AZ9="",データベース!E27="ERROR"),"□",IF(AND(AZ9&gt;=30,AZ9&lt;51,OR(データベース!B12=TRUE,データベース!B5=TRUE,データベース!B3=TRUE)),"☑","□"))</f>
        <v>□</v>
      </c>
      <c r="AJ36" s="153"/>
      <c r="AK36" s="162" t="s">
        <v>109</v>
      </c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3"/>
      <c r="AX36" s="184" t="s">
        <v>7</v>
      </c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6"/>
    </row>
    <row r="37" spans="2:65" ht="22.5" customHeight="1">
      <c r="B37" s="99"/>
      <c r="C37" s="100"/>
      <c r="D37" s="100"/>
      <c r="E37" s="105"/>
      <c r="F37" s="105"/>
      <c r="G37" s="106"/>
      <c r="H37" s="93" t="str">
        <f>IF(AZ7="","□",IF(AND(B35="☑",AZ7&gt;=1.64),"☑","□"))</f>
        <v>□</v>
      </c>
      <c r="I37" s="94"/>
      <c r="J37" s="101" t="s">
        <v>22</v>
      </c>
      <c r="K37" s="101"/>
      <c r="L37" s="101"/>
      <c r="M37" s="101"/>
      <c r="N37" s="101"/>
      <c r="O37" s="101"/>
      <c r="P37" s="101"/>
      <c r="Q37" s="101"/>
      <c r="R37" s="101"/>
      <c r="S37" s="101"/>
      <c r="T37" s="118"/>
      <c r="U37" s="111">
        <v>1500</v>
      </c>
      <c r="V37" s="112"/>
      <c r="W37" s="112"/>
      <c r="X37" s="112"/>
      <c r="Y37" s="101" t="s">
        <v>56</v>
      </c>
      <c r="Z37" s="102"/>
      <c r="AA37" s="120">
        <v>3000</v>
      </c>
      <c r="AB37" s="112"/>
      <c r="AC37" s="112"/>
      <c r="AD37" s="112"/>
      <c r="AE37" s="101" t="s">
        <v>55</v>
      </c>
      <c r="AF37" s="118"/>
      <c r="AG37" s="210"/>
      <c r="AH37" s="75"/>
      <c r="AI37" s="95" t="str">
        <f>IF(OR(AZ9="",データベース!E27="ERROR"),"□",IF(AND(AZ9&gt;=30,AZ9&lt;51,OR(データベース!B13=TRUE,データベース!B4=TRUE,AT18="☑")),"☑","□"))</f>
        <v>□</v>
      </c>
      <c r="AJ37" s="96"/>
      <c r="AK37" s="162" t="s">
        <v>111</v>
      </c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3"/>
      <c r="AX37" s="137" t="s">
        <v>139</v>
      </c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9"/>
    </row>
    <row r="38" spans="2:65" ht="22.5" customHeight="1">
      <c r="B38" s="97" t="str">
        <f>IF(OR(AI38="☑",AI44="☑",データベース!E27="ERROR"),"□",IF(OR(データベース!B13=TRUE,AT18="☑"),"☑","□"))</f>
        <v>□</v>
      </c>
      <c r="C38" s="98"/>
      <c r="D38" s="98"/>
      <c r="E38" s="103" t="s">
        <v>35</v>
      </c>
      <c r="F38" s="103"/>
      <c r="G38" s="104"/>
      <c r="H38" s="113" t="str">
        <f>IF(AZ7="","□",IF(AND(B38="☑",AZ7&lt;1.33),"☑","□"))</f>
        <v>□</v>
      </c>
      <c r="I38" s="114"/>
      <c r="J38" s="89" t="s">
        <v>23</v>
      </c>
      <c r="K38" s="89"/>
      <c r="L38" s="89"/>
      <c r="M38" s="89"/>
      <c r="N38" s="89"/>
      <c r="O38" s="89"/>
      <c r="P38" s="89"/>
      <c r="Q38" s="89"/>
      <c r="R38" s="89"/>
      <c r="S38" s="89"/>
      <c r="T38" s="124"/>
      <c r="U38" s="107">
        <v>1500</v>
      </c>
      <c r="V38" s="108"/>
      <c r="W38" s="108"/>
      <c r="X38" s="108"/>
      <c r="Y38" s="89" t="s">
        <v>56</v>
      </c>
      <c r="Z38" s="90"/>
      <c r="AA38" s="121">
        <v>3000</v>
      </c>
      <c r="AB38" s="108"/>
      <c r="AC38" s="108"/>
      <c r="AD38" s="108"/>
      <c r="AE38" s="89" t="s">
        <v>55</v>
      </c>
      <c r="AF38" s="124"/>
      <c r="AG38" s="210"/>
      <c r="AH38" s="75"/>
      <c r="AI38" s="116" t="str">
        <f>IF(AZ9="","□",IF(AZ9&lt;30,"☑","□"))</f>
        <v>□</v>
      </c>
      <c r="AJ38" s="117"/>
      <c r="AK38" s="147" t="s">
        <v>40</v>
      </c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8"/>
      <c r="AX38" s="143" t="s">
        <v>8</v>
      </c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5"/>
    </row>
    <row r="39" spans="2:65" ht="22.5" customHeight="1">
      <c r="B39" s="99"/>
      <c r="C39" s="100"/>
      <c r="D39" s="100"/>
      <c r="E39" s="105"/>
      <c r="F39" s="105"/>
      <c r="G39" s="106"/>
      <c r="H39" s="95" t="str">
        <f>IF(AZ7="","□",IF(AND(B38="☑",AZ7&lt;1.57,AZ7&gt;=1.33),"☑","□"))</f>
        <v>□</v>
      </c>
      <c r="I39" s="96"/>
      <c r="J39" s="91" t="s">
        <v>24</v>
      </c>
      <c r="K39" s="91"/>
      <c r="L39" s="91"/>
      <c r="M39" s="91"/>
      <c r="N39" s="91"/>
      <c r="O39" s="91"/>
      <c r="P39" s="91"/>
      <c r="Q39" s="91"/>
      <c r="R39" s="91"/>
      <c r="S39" s="91"/>
      <c r="T39" s="115"/>
      <c r="U39" s="109">
        <v>1800</v>
      </c>
      <c r="V39" s="110"/>
      <c r="W39" s="110"/>
      <c r="X39" s="110"/>
      <c r="Y39" s="91" t="s">
        <v>56</v>
      </c>
      <c r="Z39" s="92"/>
      <c r="AA39" s="119">
        <v>3600</v>
      </c>
      <c r="AB39" s="110"/>
      <c r="AC39" s="110"/>
      <c r="AD39" s="110"/>
      <c r="AE39" s="91" t="s">
        <v>55</v>
      </c>
      <c r="AF39" s="115"/>
      <c r="AG39" s="210"/>
      <c r="AH39" s="75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</row>
    <row r="40" spans="2:65" ht="22.5" customHeight="1">
      <c r="B40" s="99"/>
      <c r="C40" s="100"/>
      <c r="D40" s="100"/>
      <c r="E40" s="105"/>
      <c r="F40" s="105"/>
      <c r="G40" s="106"/>
      <c r="H40" s="95" t="str">
        <f>IF(AZ7="","□",IF(AND(B38="☑",AZ7&lt;1.81,AZ7&gt;=1.57),"☑","□"))</f>
        <v>□</v>
      </c>
      <c r="I40" s="96"/>
      <c r="J40" s="91" t="s">
        <v>25</v>
      </c>
      <c r="K40" s="91"/>
      <c r="L40" s="91"/>
      <c r="M40" s="91"/>
      <c r="N40" s="91"/>
      <c r="O40" s="91"/>
      <c r="P40" s="91"/>
      <c r="Q40" s="91"/>
      <c r="R40" s="91"/>
      <c r="S40" s="91"/>
      <c r="T40" s="115"/>
      <c r="U40" s="109">
        <v>2100</v>
      </c>
      <c r="V40" s="110"/>
      <c r="W40" s="110"/>
      <c r="X40" s="110"/>
      <c r="Y40" s="91" t="s">
        <v>56</v>
      </c>
      <c r="Z40" s="92"/>
      <c r="AA40" s="119">
        <v>4200</v>
      </c>
      <c r="AB40" s="110"/>
      <c r="AC40" s="110"/>
      <c r="AD40" s="110"/>
      <c r="AE40" s="91" t="s">
        <v>55</v>
      </c>
      <c r="AF40" s="115"/>
      <c r="AG40" s="210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</row>
    <row r="41" spans="2:65" ht="22.5" customHeight="1">
      <c r="B41" s="99"/>
      <c r="C41" s="100"/>
      <c r="D41" s="100"/>
      <c r="E41" s="105"/>
      <c r="F41" s="105"/>
      <c r="G41" s="106"/>
      <c r="H41" s="93" t="str">
        <f>IF(AZ7="","□",IF(AND(B38="☑",AZ7&gt;=1.81),"☑","□"))</f>
        <v>□</v>
      </c>
      <c r="I41" s="94"/>
      <c r="J41" s="101" t="s">
        <v>26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18"/>
      <c r="U41" s="111">
        <v>2400</v>
      </c>
      <c r="V41" s="112"/>
      <c r="W41" s="112"/>
      <c r="X41" s="112"/>
      <c r="Y41" s="101" t="s">
        <v>56</v>
      </c>
      <c r="Z41" s="102"/>
      <c r="AA41" s="120">
        <v>4800</v>
      </c>
      <c r="AB41" s="112"/>
      <c r="AC41" s="112"/>
      <c r="AD41" s="112"/>
      <c r="AE41" s="101" t="s">
        <v>55</v>
      </c>
      <c r="AF41" s="118"/>
      <c r="AG41" s="210"/>
      <c r="AH41" s="75"/>
      <c r="AI41" s="86" t="s">
        <v>80</v>
      </c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</row>
    <row r="42" spans="2:65" ht="22.5" customHeight="1">
      <c r="B42" s="97" t="str">
        <f>IF(OR(AI38="☑",AI48="☑",データベース!E27="ERROR"),"□",IF(Z22="☑","☑","□"))</f>
        <v>□</v>
      </c>
      <c r="C42" s="98"/>
      <c r="D42" s="98"/>
      <c r="E42" s="103" t="s">
        <v>36</v>
      </c>
      <c r="F42" s="103"/>
      <c r="G42" s="104"/>
      <c r="H42" s="113" t="str">
        <f>IF(AZ7="","□",IF(AND(B42="☑",AZ7&lt;1.36),"☑","□"))</f>
        <v>□</v>
      </c>
      <c r="I42" s="114"/>
      <c r="J42" s="89" t="s">
        <v>27</v>
      </c>
      <c r="K42" s="89"/>
      <c r="L42" s="89"/>
      <c r="M42" s="89"/>
      <c r="N42" s="89"/>
      <c r="O42" s="89"/>
      <c r="P42" s="89"/>
      <c r="Q42" s="89"/>
      <c r="R42" s="89"/>
      <c r="S42" s="89"/>
      <c r="T42" s="124"/>
      <c r="U42" s="107">
        <v>1200</v>
      </c>
      <c r="V42" s="108"/>
      <c r="W42" s="108"/>
      <c r="X42" s="108"/>
      <c r="Y42" s="89" t="s">
        <v>56</v>
      </c>
      <c r="Z42" s="90"/>
      <c r="AA42" s="121">
        <v>2400</v>
      </c>
      <c r="AB42" s="108"/>
      <c r="AC42" s="108"/>
      <c r="AD42" s="108"/>
      <c r="AE42" s="89" t="s">
        <v>55</v>
      </c>
      <c r="AF42" s="124"/>
      <c r="AG42" s="210"/>
      <c r="AH42" s="75"/>
      <c r="AI42" s="77" t="s">
        <v>75</v>
      </c>
      <c r="AJ42" s="78"/>
      <c r="AK42" s="78"/>
      <c r="AL42" s="78"/>
      <c r="AM42" s="78"/>
      <c r="AN42" s="85"/>
      <c r="AO42" s="78" t="s">
        <v>3</v>
      </c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85"/>
      <c r="BB42" s="149" t="s">
        <v>77</v>
      </c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1"/>
    </row>
    <row r="43" spans="2:65" ht="22.5" customHeight="1">
      <c r="B43" s="99"/>
      <c r="C43" s="100"/>
      <c r="D43" s="100"/>
      <c r="E43" s="105"/>
      <c r="F43" s="105"/>
      <c r="G43" s="106"/>
      <c r="H43" s="95" t="str">
        <f>IF(AZ7="","□",IF(AND(B42="☑",AZ7&lt;1.66,AZ7&gt;=1.36),"☑","□"))</f>
        <v>□</v>
      </c>
      <c r="I43" s="96"/>
      <c r="J43" s="91" t="s">
        <v>28</v>
      </c>
      <c r="K43" s="91"/>
      <c r="L43" s="91"/>
      <c r="M43" s="91"/>
      <c r="N43" s="91"/>
      <c r="O43" s="91"/>
      <c r="P43" s="91"/>
      <c r="Q43" s="91"/>
      <c r="R43" s="91"/>
      <c r="S43" s="91"/>
      <c r="T43" s="115"/>
      <c r="U43" s="109">
        <v>1500</v>
      </c>
      <c r="V43" s="110"/>
      <c r="W43" s="110"/>
      <c r="X43" s="110"/>
      <c r="Y43" s="91" t="s">
        <v>56</v>
      </c>
      <c r="Z43" s="92"/>
      <c r="AA43" s="119">
        <v>3000</v>
      </c>
      <c r="AB43" s="110"/>
      <c r="AC43" s="110"/>
      <c r="AD43" s="110"/>
      <c r="AE43" s="91" t="s">
        <v>55</v>
      </c>
      <c r="AF43" s="115"/>
      <c r="AG43" s="210"/>
      <c r="AH43" s="75"/>
      <c r="AI43" s="127"/>
      <c r="AJ43" s="128"/>
      <c r="AK43" s="128"/>
      <c r="AL43" s="128"/>
      <c r="AM43" s="128"/>
      <c r="AN43" s="131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31"/>
      <c r="BB43" s="127" t="s">
        <v>19</v>
      </c>
      <c r="BC43" s="128"/>
      <c r="BD43" s="128"/>
      <c r="BE43" s="128"/>
      <c r="BF43" s="128"/>
      <c r="BG43" s="129"/>
      <c r="BH43" s="130" t="s">
        <v>18</v>
      </c>
      <c r="BI43" s="128"/>
      <c r="BJ43" s="128"/>
      <c r="BK43" s="128"/>
      <c r="BL43" s="128"/>
      <c r="BM43" s="131"/>
    </row>
    <row r="44" spans="2:65" ht="22.5" customHeight="1">
      <c r="B44" s="99"/>
      <c r="C44" s="100"/>
      <c r="D44" s="100"/>
      <c r="E44" s="105"/>
      <c r="F44" s="105"/>
      <c r="G44" s="106"/>
      <c r="H44" s="95" t="str">
        <f>IF(AZ7="","□",IF(AND(B42="☑",AZ7&lt;1.96,AZ7&gt;=1.66),"☑","□"))</f>
        <v>□</v>
      </c>
      <c r="I44" s="96"/>
      <c r="J44" s="91" t="s">
        <v>29</v>
      </c>
      <c r="K44" s="91"/>
      <c r="L44" s="91"/>
      <c r="M44" s="91"/>
      <c r="N44" s="91"/>
      <c r="O44" s="91"/>
      <c r="P44" s="91"/>
      <c r="Q44" s="91"/>
      <c r="R44" s="91"/>
      <c r="S44" s="91"/>
      <c r="T44" s="115"/>
      <c r="U44" s="109">
        <v>1800</v>
      </c>
      <c r="V44" s="110"/>
      <c r="W44" s="110"/>
      <c r="X44" s="110"/>
      <c r="Y44" s="91" t="s">
        <v>56</v>
      </c>
      <c r="Z44" s="92"/>
      <c r="AA44" s="119">
        <v>3600</v>
      </c>
      <c r="AB44" s="110"/>
      <c r="AC44" s="110"/>
      <c r="AD44" s="110"/>
      <c r="AE44" s="91" t="s">
        <v>55</v>
      </c>
      <c r="AF44" s="115"/>
      <c r="AG44" s="210"/>
      <c r="AH44" s="75"/>
      <c r="AI44" s="97" t="str">
        <f>IF(データベース!E27="ERROR","□",IF(AND(AI37="☑",OR(AT18="☑",データベース!B13=TRUE)),"☑","□"))</f>
        <v>□</v>
      </c>
      <c r="AJ44" s="98"/>
      <c r="AK44" s="98"/>
      <c r="AL44" s="187" t="s">
        <v>35</v>
      </c>
      <c r="AM44" s="187"/>
      <c r="AN44" s="188"/>
      <c r="AO44" s="164" t="str">
        <f>IF(AND(AI44="☑",AZ7&lt;1.13),"☑","□")</f>
        <v>□</v>
      </c>
      <c r="AP44" s="165"/>
      <c r="AQ44" s="166" t="s">
        <v>76</v>
      </c>
      <c r="AR44" s="166"/>
      <c r="AS44" s="166"/>
      <c r="AT44" s="166"/>
      <c r="AU44" s="166"/>
      <c r="AV44" s="166"/>
      <c r="AW44" s="166"/>
      <c r="AX44" s="166"/>
      <c r="AY44" s="166"/>
      <c r="AZ44" s="166"/>
      <c r="BA44" s="167"/>
      <c r="BB44" s="97">
        <v>900</v>
      </c>
      <c r="BC44" s="98"/>
      <c r="BD44" s="98"/>
      <c r="BE44" s="98"/>
      <c r="BF44" s="166" t="s">
        <v>55</v>
      </c>
      <c r="BG44" s="168"/>
      <c r="BH44" s="169">
        <v>1800</v>
      </c>
      <c r="BI44" s="98"/>
      <c r="BJ44" s="98"/>
      <c r="BK44" s="98"/>
      <c r="BL44" s="166" t="s">
        <v>55</v>
      </c>
      <c r="BM44" s="167"/>
    </row>
    <row r="45" spans="2:65" ht="22.5" customHeight="1">
      <c r="B45" s="99"/>
      <c r="C45" s="100"/>
      <c r="D45" s="100"/>
      <c r="E45" s="105"/>
      <c r="F45" s="105"/>
      <c r="G45" s="106"/>
      <c r="H45" s="93" t="str">
        <f>IF(AZ7="","□",IF(AND(B42="☑",AZ7&gt;=1.96),"☑","□"))</f>
        <v>□</v>
      </c>
      <c r="I45" s="94"/>
      <c r="J45" s="101" t="s">
        <v>30</v>
      </c>
      <c r="K45" s="101"/>
      <c r="L45" s="101"/>
      <c r="M45" s="101"/>
      <c r="N45" s="101"/>
      <c r="O45" s="101"/>
      <c r="P45" s="101"/>
      <c r="Q45" s="101"/>
      <c r="R45" s="101"/>
      <c r="S45" s="101"/>
      <c r="T45" s="118"/>
      <c r="U45" s="111">
        <v>2100</v>
      </c>
      <c r="V45" s="112"/>
      <c r="W45" s="112"/>
      <c r="X45" s="112"/>
      <c r="Y45" s="101" t="s">
        <v>56</v>
      </c>
      <c r="Z45" s="102"/>
      <c r="AA45" s="120">
        <v>4200</v>
      </c>
      <c r="AB45" s="112"/>
      <c r="AC45" s="112"/>
      <c r="AD45" s="112"/>
      <c r="AE45" s="101" t="s">
        <v>55</v>
      </c>
      <c r="AF45" s="118"/>
      <c r="AG45" s="210"/>
      <c r="AH45" s="75"/>
      <c r="AI45" s="99"/>
      <c r="AJ45" s="100"/>
      <c r="AK45" s="100"/>
      <c r="AL45" s="189"/>
      <c r="AM45" s="189"/>
      <c r="AN45" s="190"/>
      <c r="AO45" s="95" t="str">
        <f>IF(AND(AI44="☑",AZ7&gt;=1.13,AZ7&lt;1.45),"☑","□")</f>
        <v>□</v>
      </c>
      <c r="AP45" s="96"/>
      <c r="AQ45" s="162" t="s">
        <v>100</v>
      </c>
      <c r="AR45" s="162"/>
      <c r="AS45" s="162"/>
      <c r="AT45" s="162"/>
      <c r="AU45" s="162"/>
      <c r="AV45" s="162"/>
      <c r="AW45" s="162"/>
      <c r="AX45" s="162"/>
      <c r="AY45" s="162"/>
      <c r="AZ45" s="162"/>
      <c r="BA45" s="163"/>
      <c r="BB45" s="172">
        <v>1200</v>
      </c>
      <c r="BC45" s="126"/>
      <c r="BD45" s="126"/>
      <c r="BE45" s="126"/>
      <c r="BF45" s="162" t="s">
        <v>55</v>
      </c>
      <c r="BG45" s="171"/>
      <c r="BH45" s="125">
        <v>2400</v>
      </c>
      <c r="BI45" s="126"/>
      <c r="BJ45" s="126"/>
      <c r="BK45" s="126"/>
      <c r="BL45" s="162" t="s">
        <v>55</v>
      </c>
      <c r="BM45" s="163"/>
    </row>
    <row r="46" spans="2:65" ht="22.5" customHeight="1">
      <c r="B46" s="97" t="str">
        <f>IF(OR(AI38="☑",データベース!E27="ERROR"),"□",IF(Z25="☑","☑","□"))</f>
        <v>□</v>
      </c>
      <c r="C46" s="98"/>
      <c r="D46" s="98"/>
      <c r="E46" s="103" t="s">
        <v>37</v>
      </c>
      <c r="F46" s="103"/>
      <c r="G46" s="104"/>
      <c r="H46" s="113" t="str">
        <f>IF(AZ7="","□",IF(AND(B46="☑",AZ7&lt;1.31),"☑","□"))</f>
        <v>□</v>
      </c>
      <c r="I46" s="114"/>
      <c r="J46" s="89" t="s">
        <v>20</v>
      </c>
      <c r="K46" s="89"/>
      <c r="L46" s="89"/>
      <c r="M46" s="89"/>
      <c r="N46" s="89"/>
      <c r="O46" s="89"/>
      <c r="P46" s="89"/>
      <c r="Q46" s="89"/>
      <c r="R46" s="89"/>
      <c r="S46" s="89"/>
      <c r="T46" s="124"/>
      <c r="U46" s="107">
        <v>900</v>
      </c>
      <c r="V46" s="108"/>
      <c r="W46" s="108"/>
      <c r="X46" s="108"/>
      <c r="Y46" s="89" t="s">
        <v>56</v>
      </c>
      <c r="Z46" s="90"/>
      <c r="AA46" s="121">
        <v>1800</v>
      </c>
      <c r="AB46" s="108"/>
      <c r="AC46" s="108"/>
      <c r="AD46" s="108"/>
      <c r="AE46" s="89" t="s">
        <v>55</v>
      </c>
      <c r="AF46" s="124"/>
      <c r="AG46" s="210"/>
      <c r="AH46" s="75"/>
      <c r="AI46" s="99"/>
      <c r="AJ46" s="100"/>
      <c r="AK46" s="100"/>
      <c r="AL46" s="189"/>
      <c r="AM46" s="189"/>
      <c r="AN46" s="190"/>
      <c r="AO46" s="135" t="str">
        <f>IF(AND(AI44="☑",AZ7&gt;=1.45,AZ7&lt;1.77),"☑","□")</f>
        <v>□</v>
      </c>
      <c r="AP46" s="136"/>
      <c r="AQ46" s="162" t="s">
        <v>102</v>
      </c>
      <c r="AR46" s="162"/>
      <c r="AS46" s="162"/>
      <c r="AT46" s="162"/>
      <c r="AU46" s="162"/>
      <c r="AV46" s="162"/>
      <c r="AW46" s="162"/>
      <c r="AX46" s="162"/>
      <c r="AY46" s="162"/>
      <c r="AZ46" s="162"/>
      <c r="BA46" s="163"/>
      <c r="BB46" s="172">
        <v>1500</v>
      </c>
      <c r="BC46" s="126"/>
      <c r="BD46" s="126"/>
      <c r="BE46" s="126"/>
      <c r="BF46" s="162" t="s">
        <v>55</v>
      </c>
      <c r="BG46" s="171"/>
      <c r="BH46" s="125">
        <v>3000</v>
      </c>
      <c r="BI46" s="126"/>
      <c r="BJ46" s="126"/>
      <c r="BK46" s="126"/>
      <c r="BL46" s="162" t="s">
        <v>55</v>
      </c>
      <c r="BM46" s="163"/>
    </row>
    <row r="47" spans="2:65" ht="22.5" customHeight="1">
      <c r="B47" s="99"/>
      <c r="C47" s="100"/>
      <c r="D47" s="100"/>
      <c r="E47" s="105"/>
      <c r="F47" s="105"/>
      <c r="G47" s="106"/>
      <c r="H47" s="95" t="str">
        <f>IF(AZ7="","□",IF(AND(B46="☑",AZ7&lt;1.64,AZ7&gt;=1.31),"☑","□"))</f>
        <v>□</v>
      </c>
      <c r="I47" s="96"/>
      <c r="J47" s="91" t="s">
        <v>21</v>
      </c>
      <c r="K47" s="91"/>
      <c r="L47" s="91"/>
      <c r="M47" s="91"/>
      <c r="N47" s="91"/>
      <c r="O47" s="91"/>
      <c r="P47" s="91"/>
      <c r="Q47" s="91"/>
      <c r="R47" s="91"/>
      <c r="S47" s="91"/>
      <c r="T47" s="115"/>
      <c r="U47" s="109">
        <v>1200</v>
      </c>
      <c r="V47" s="110"/>
      <c r="W47" s="110"/>
      <c r="X47" s="110"/>
      <c r="Y47" s="91" t="s">
        <v>56</v>
      </c>
      <c r="Z47" s="92"/>
      <c r="AA47" s="119">
        <v>2400</v>
      </c>
      <c r="AB47" s="110"/>
      <c r="AC47" s="110"/>
      <c r="AD47" s="110"/>
      <c r="AE47" s="91" t="s">
        <v>55</v>
      </c>
      <c r="AF47" s="115"/>
      <c r="AG47" s="210"/>
      <c r="AH47" s="75"/>
      <c r="AI47" s="154"/>
      <c r="AJ47" s="155"/>
      <c r="AK47" s="155"/>
      <c r="AL47" s="191"/>
      <c r="AM47" s="191"/>
      <c r="AN47" s="192"/>
      <c r="AO47" s="158" t="str">
        <f>IF(AND(AI44="☑",AZ7&gt;=1.77),"☑","□")</f>
        <v>□</v>
      </c>
      <c r="AP47" s="159"/>
      <c r="AQ47" s="147" t="s">
        <v>104</v>
      </c>
      <c r="AR47" s="147"/>
      <c r="AS47" s="147"/>
      <c r="AT47" s="147"/>
      <c r="AU47" s="147"/>
      <c r="AV47" s="147"/>
      <c r="AW47" s="147"/>
      <c r="AX47" s="147"/>
      <c r="AY47" s="147"/>
      <c r="AZ47" s="147"/>
      <c r="BA47" s="148"/>
      <c r="BB47" s="122">
        <v>1800</v>
      </c>
      <c r="BC47" s="123"/>
      <c r="BD47" s="123"/>
      <c r="BE47" s="123"/>
      <c r="BF47" s="147" t="s">
        <v>55</v>
      </c>
      <c r="BG47" s="160"/>
      <c r="BH47" s="161">
        <v>3600</v>
      </c>
      <c r="BI47" s="123"/>
      <c r="BJ47" s="123"/>
      <c r="BK47" s="123"/>
      <c r="BL47" s="147" t="s">
        <v>55</v>
      </c>
      <c r="BM47" s="148"/>
    </row>
    <row r="48" spans="2:65" ht="22.5" customHeight="1">
      <c r="B48" s="99"/>
      <c r="C48" s="100"/>
      <c r="D48" s="100"/>
      <c r="E48" s="105"/>
      <c r="F48" s="105"/>
      <c r="G48" s="106"/>
      <c r="H48" s="93" t="str">
        <f>IF(AZ7="","□",IF(AND(B46="☑",AZ7&gt;=1.64),"☑","□"))</f>
        <v>□</v>
      </c>
      <c r="I48" s="94"/>
      <c r="J48" s="101" t="s">
        <v>22</v>
      </c>
      <c r="K48" s="101"/>
      <c r="L48" s="101"/>
      <c r="M48" s="101"/>
      <c r="N48" s="101"/>
      <c r="O48" s="101"/>
      <c r="P48" s="101"/>
      <c r="Q48" s="101"/>
      <c r="R48" s="101"/>
      <c r="S48" s="101"/>
      <c r="T48" s="118"/>
      <c r="U48" s="111">
        <v>1500</v>
      </c>
      <c r="V48" s="112"/>
      <c r="W48" s="112"/>
      <c r="X48" s="112"/>
      <c r="Y48" s="101" t="s">
        <v>56</v>
      </c>
      <c r="Z48" s="102"/>
      <c r="AA48" s="120">
        <v>3000</v>
      </c>
      <c r="AB48" s="112"/>
      <c r="AC48" s="112"/>
      <c r="AD48" s="112"/>
      <c r="AE48" s="101" t="s">
        <v>55</v>
      </c>
      <c r="AF48" s="118"/>
      <c r="AG48" s="210"/>
      <c r="AH48" s="75"/>
      <c r="AI48" s="99" t="str">
        <f>IF(データベース!E27="ERROR","□",IF(AND(AI37="☑",データベース!B4=TRUE),"☑","□"))</f>
        <v>□</v>
      </c>
      <c r="AJ48" s="100"/>
      <c r="AK48" s="100"/>
      <c r="AL48" s="189" t="s">
        <v>36</v>
      </c>
      <c r="AM48" s="189"/>
      <c r="AN48" s="190"/>
      <c r="AO48" s="135" t="str">
        <f>IF(AND(AI48="☑",AZ7&lt;1.41),"☑","□")</f>
        <v>□</v>
      </c>
      <c r="AP48" s="136"/>
      <c r="AQ48" s="74" t="s">
        <v>78</v>
      </c>
      <c r="AR48" s="74"/>
      <c r="AS48" s="74"/>
      <c r="AT48" s="74"/>
      <c r="AU48" s="74"/>
      <c r="AV48" s="74"/>
      <c r="AW48" s="74"/>
      <c r="AX48" s="74"/>
      <c r="AY48" s="74"/>
      <c r="AZ48" s="74"/>
      <c r="BA48" s="146"/>
      <c r="BB48" s="99">
        <v>900</v>
      </c>
      <c r="BC48" s="100"/>
      <c r="BD48" s="100"/>
      <c r="BE48" s="100"/>
      <c r="BF48" s="74" t="s">
        <v>55</v>
      </c>
      <c r="BG48" s="170"/>
      <c r="BH48" s="197">
        <v>1800</v>
      </c>
      <c r="BI48" s="100"/>
      <c r="BJ48" s="100"/>
      <c r="BK48" s="100"/>
      <c r="BL48" s="74" t="s">
        <v>55</v>
      </c>
      <c r="BM48" s="146"/>
    </row>
    <row r="49" spans="2:66" ht="22.5" customHeight="1">
      <c r="B49" s="97" t="str">
        <f>IF(OR(AI38="☑",データベース!E27="ERROR"),"□",IF(Z20="☑","☑","□"))</f>
        <v>□</v>
      </c>
      <c r="C49" s="98"/>
      <c r="D49" s="98"/>
      <c r="E49" s="103" t="s">
        <v>38</v>
      </c>
      <c r="F49" s="103"/>
      <c r="G49" s="104"/>
      <c r="H49" s="113" t="str">
        <f>IF(AZ7="","□",IF(AND(B49="☑",AZ7&lt;1.31),"☑","□"))</f>
        <v>□</v>
      </c>
      <c r="I49" s="114"/>
      <c r="J49" s="89" t="s">
        <v>20</v>
      </c>
      <c r="K49" s="89"/>
      <c r="L49" s="89"/>
      <c r="M49" s="89"/>
      <c r="N49" s="89"/>
      <c r="O49" s="89"/>
      <c r="P49" s="89"/>
      <c r="Q49" s="89"/>
      <c r="R49" s="89"/>
      <c r="S49" s="89"/>
      <c r="T49" s="124"/>
      <c r="U49" s="107">
        <v>900</v>
      </c>
      <c r="V49" s="108"/>
      <c r="W49" s="108"/>
      <c r="X49" s="108"/>
      <c r="Y49" s="89" t="s">
        <v>56</v>
      </c>
      <c r="Z49" s="90"/>
      <c r="AA49" s="121">
        <v>1800</v>
      </c>
      <c r="AB49" s="108"/>
      <c r="AC49" s="108"/>
      <c r="AD49" s="108"/>
      <c r="AE49" s="89" t="s">
        <v>55</v>
      </c>
      <c r="AF49" s="124"/>
      <c r="AG49" s="210"/>
      <c r="AH49" s="75"/>
      <c r="AI49" s="99"/>
      <c r="AJ49" s="100"/>
      <c r="AK49" s="100"/>
      <c r="AL49" s="189"/>
      <c r="AM49" s="189"/>
      <c r="AN49" s="190"/>
      <c r="AO49" s="95" t="str">
        <f>IF(AND(AI48="☑",AZ7&gt;=1.41,AZ7&lt;1.81),"☑","□")</f>
        <v>□</v>
      </c>
      <c r="AP49" s="96"/>
      <c r="AQ49" s="91" t="s">
        <v>106</v>
      </c>
      <c r="AR49" s="91"/>
      <c r="AS49" s="91"/>
      <c r="AT49" s="91"/>
      <c r="AU49" s="91"/>
      <c r="AV49" s="91"/>
      <c r="AW49" s="91"/>
      <c r="AX49" s="91"/>
      <c r="AY49" s="91"/>
      <c r="AZ49" s="91"/>
      <c r="BA49" s="115"/>
      <c r="BB49" s="109">
        <v>1200</v>
      </c>
      <c r="BC49" s="110"/>
      <c r="BD49" s="110"/>
      <c r="BE49" s="110"/>
      <c r="BF49" s="91" t="s">
        <v>55</v>
      </c>
      <c r="BG49" s="92"/>
      <c r="BH49" s="119">
        <v>2400</v>
      </c>
      <c r="BI49" s="110"/>
      <c r="BJ49" s="110"/>
      <c r="BK49" s="110"/>
      <c r="BL49" s="91" t="s">
        <v>55</v>
      </c>
      <c r="BM49" s="115"/>
    </row>
    <row r="50" spans="2:66" ht="22.5" customHeight="1">
      <c r="B50" s="99"/>
      <c r="C50" s="100"/>
      <c r="D50" s="100"/>
      <c r="E50" s="105"/>
      <c r="F50" s="105"/>
      <c r="G50" s="106"/>
      <c r="H50" s="95" t="str">
        <f>IF(AZ7="","□",IF(AND(B49="☑",AZ7&lt;1.69,AZ7&gt;=1.31),"☑","□"))</f>
        <v>□</v>
      </c>
      <c r="I50" s="96"/>
      <c r="J50" s="91" t="s">
        <v>31</v>
      </c>
      <c r="K50" s="91"/>
      <c r="L50" s="91"/>
      <c r="M50" s="91"/>
      <c r="N50" s="91"/>
      <c r="O50" s="91"/>
      <c r="P50" s="91"/>
      <c r="Q50" s="91"/>
      <c r="R50" s="91"/>
      <c r="S50" s="91"/>
      <c r="T50" s="115"/>
      <c r="U50" s="109">
        <v>1200</v>
      </c>
      <c r="V50" s="110"/>
      <c r="W50" s="110"/>
      <c r="X50" s="110"/>
      <c r="Y50" s="91" t="s">
        <v>56</v>
      </c>
      <c r="Z50" s="92"/>
      <c r="AA50" s="119">
        <v>2400</v>
      </c>
      <c r="AB50" s="110"/>
      <c r="AC50" s="110"/>
      <c r="AD50" s="110"/>
      <c r="AE50" s="91" t="s">
        <v>55</v>
      </c>
      <c r="AF50" s="115"/>
      <c r="AG50" s="210"/>
      <c r="AH50" s="75"/>
      <c r="AI50" s="99"/>
      <c r="AJ50" s="100"/>
      <c r="AK50" s="100"/>
      <c r="AL50" s="189"/>
      <c r="AM50" s="189"/>
      <c r="AN50" s="190"/>
      <c r="AO50" s="152" t="str">
        <f>IF(AND(AI48="☑",AZ7&gt;=1.81),"☑","□")</f>
        <v>□</v>
      </c>
      <c r="AP50" s="153"/>
      <c r="AQ50" s="162" t="s">
        <v>107</v>
      </c>
      <c r="AR50" s="162"/>
      <c r="AS50" s="162"/>
      <c r="AT50" s="162"/>
      <c r="AU50" s="162"/>
      <c r="AV50" s="162"/>
      <c r="AW50" s="162"/>
      <c r="AX50" s="162"/>
      <c r="AY50" s="162"/>
      <c r="AZ50" s="162"/>
      <c r="BA50" s="163"/>
      <c r="BB50" s="172">
        <v>1500</v>
      </c>
      <c r="BC50" s="126"/>
      <c r="BD50" s="126"/>
      <c r="BE50" s="126"/>
      <c r="BF50" s="162" t="s">
        <v>55</v>
      </c>
      <c r="BG50" s="171"/>
      <c r="BH50" s="125">
        <v>3000</v>
      </c>
      <c r="BI50" s="126"/>
      <c r="BJ50" s="126"/>
      <c r="BK50" s="126"/>
      <c r="BL50" s="162" t="s">
        <v>55</v>
      </c>
      <c r="BM50" s="163"/>
    </row>
    <row r="51" spans="2:66" ht="22.5" customHeight="1">
      <c r="B51" s="99"/>
      <c r="C51" s="100"/>
      <c r="D51" s="100"/>
      <c r="E51" s="105"/>
      <c r="F51" s="105"/>
      <c r="G51" s="106"/>
      <c r="H51" s="95" t="str">
        <f>IF(AZ7="","□",IF(AND(B49="☑",AZ7&lt;2.07,AZ7&gt;=1.69),"☑","□"))</f>
        <v>□</v>
      </c>
      <c r="I51" s="96"/>
      <c r="J51" s="91" t="s">
        <v>32</v>
      </c>
      <c r="K51" s="91"/>
      <c r="L51" s="91"/>
      <c r="M51" s="91"/>
      <c r="N51" s="91"/>
      <c r="O51" s="91"/>
      <c r="P51" s="91"/>
      <c r="Q51" s="91"/>
      <c r="R51" s="91"/>
      <c r="S51" s="91"/>
      <c r="T51" s="115"/>
      <c r="U51" s="109">
        <v>1500</v>
      </c>
      <c r="V51" s="110"/>
      <c r="W51" s="110"/>
      <c r="X51" s="110"/>
      <c r="Y51" s="91" t="s">
        <v>56</v>
      </c>
      <c r="Z51" s="92"/>
      <c r="AA51" s="119">
        <v>3000</v>
      </c>
      <c r="AB51" s="110"/>
      <c r="AC51" s="110"/>
      <c r="AD51" s="110"/>
      <c r="AE51" s="91" t="s">
        <v>55</v>
      </c>
      <c r="AF51" s="115"/>
      <c r="AG51" s="210"/>
      <c r="AH51" s="75"/>
      <c r="AI51" s="50" t="s">
        <v>85</v>
      </c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</row>
    <row r="52" spans="2:66" ht="22.5" customHeight="1">
      <c r="B52" s="154"/>
      <c r="C52" s="155"/>
      <c r="D52" s="155"/>
      <c r="E52" s="156"/>
      <c r="F52" s="156"/>
      <c r="G52" s="157"/>
      <c r="H52" s="158" t="str">
        <f>IF(AZ7="","□",IF(AND(B49="☑",AZ7&gt;=2.07),"☑","□"))</f>
        <v>□</v>
      </c>
      <c r="I52" s="159"/>
      <c r="J52" s="147" t="s">
        <v>33</v>
      </c>
      <c r="K52" s="147"/>
      <c r="L52" s="147"/>
      <c r="M52" s="147"/>
      <c r="N52" s="147"/>
      <c r="O52" s="147"/>
      <c r="P52" s="147"/>
      <c r="Q52" s="147"/>
      <c r="R52" s="147"/>
      <c r="S52" s="147"/>
      <c r="T52" s="148"/>
      <c r="U52" s="122">
        <v>1800</v>
      </c>
      <c r="V52" s="123"/>
      <c r="W52" s="123"/>
      <c r="X52" s="123"/>
      <c r="Y52" s="147" t="s">
        <v>56</v>
      </c>
      <c r="Z52" s="160"/>
      <c r="AA52" s="161">
        <v>3600</v>
      </c>
      <c r="AB52" s="123"/>
      <c r="AC52" s="123"/>
      <c r="AD52" s="123"/>
      <c r="AE52" s="147" t="s">
        <v>55</v>
      </c>
      <c r="AF52" s="148"/>
      <c r="AG52" s="210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</row>
    <row r="53" spans="2:66" ht="11.25" customHeight="1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R53" s="43"/>
      <c r="AS53" s="43"/>
      <c r="BN53" s="42"/>
    </row>
    <row r="54" spans="2:66" ht="18.75" customHeight="1">
      <c r="B54" s="87" t="s">
        <v>72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BN54" s="42"/>
    </row>
    <row r="55" spans="2:66" ht="11.25" customHeight="1"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7"/>
      <c r="AT55" s="193" t="s">
        <v>69</v>
      </c>
      <c r="AU55" s="193"/>
      <c r="AV55" s="193"/>
      <c r="AW55" s="193"/>
      <c r="AX55" s="193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5"/>
      <c r="BM55" s="195"/>
    </row>
    <row r="56" spans="2:66" ht="11.25" customHeight="1">
      <c r="B56" s="178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80"/>
      <c r="AT56" s="194"/>
      <c r="AU56" s="194"/>
      <c r="AV56" s="194"/>
      <c r="AW56" s="194"/>
      <c r="AX56" s="194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</row>
    <row r="57" spans="2:66" ht="11.25" customHeight="1">
      <c r="B57" s="178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80"/>
    </row>
    <row r="58" spans="2:66" ht="11.25" customHeight="1"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80"/>
      <c r="AV58" s="174" t="s">
        <v>108</v>
      </c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</row>
    <row r="59" spans="2:66" ht="11.25" customHeight="1">
      <c r="B59" s="178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80"/>
      <c r="AR59" s="44"/>
      <c r="AS59" s="44"/>
      <c r="AT59" s="44"/>
      <c r="AU59" s="44"/>
    </row>
    <row r="60" spans="2:66" ht="15" customHeight="1">
      <c r="B60" s="181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3"/>
      <c r="AR60" s="45"/>
      <c r="AS60" s="45"/>
      <c r="AT60" s="173" t="s">
        <v>155</v>
      </c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</row>
    <row r="61" spans="2:66" ht="11.25" customHeight="1"/>
    <row r="62" spans="2:66" ht="11.25" customHeight="1"/>
    <row r="63" spans="2:66" ht="11.25" customHeight="1"/>
    <row r="64" spans="2:66" ht="11.25" customHeight="1"/>
    <row r="65" s="1" customFormat="1" ht="11.25" customHeight="1"/>
    <row r="66" s="1" customFormat="1" ht="11.25" customHeight="1"/>
    <row r="67" s="1" customFormat="1" ht="11.25" customHeight="1"/>
    <row r="68" s="1" customFormat="1" ht="11.25" customHeight="1"/>
    <row r="69" s="1" customFormat="1" ht="10.15" customHeight="1"/>
    <row r="70" s="1" customFormat="1" ht="10.9" customHeight="1"/>
    <row r="71" s="1" customFormat="1" ht="10.9" customHeight="1"/>
    <row r="72" s="1" customFormat="1" ht="10.9" customHeight="1"/>
    <row r="73" s="1" customFormat="1" ht="10.5" customHeight="1"/>
    <row r="74" s="1" customFormat="1" ht="10.9" customHeight="1"/>
    <row r="75" s="1" customFormat="1" ht="10.9" customHeight="1"/>
    <row r="76" s="1" customFormat="1" ht="10.9" customHeight="1"/>
    <row r="77" s="1" customFormat="1" ht="10.9" customHeight="1"/>
    <row r="78" s="1" customFormat="1" ht="9" customHeight="1"/>
    <row r="79" s="1" customFormat="1" ht="9" customHeight="1"/>
    <row r="80" s="1" customFormat="1" ht="9" customHeight="1"/>
    <row r="81" s="1" customFormat="1" ht="9" customHeight="1"/>
    <row r="82" s="1" customFormat="1" ht="9" customHeight="1"/>
    <row r="83" s="1" customFormat="1" ht="9" customHeight="1"/>
    <row r="84" s="1" customFormat="1" ht="9" customHeight="1"/>
    <row r="85" s="1" customFormat="1" ht="9" customHeight="1"/>
    <row r="86" s="1" customFormat="1" ht="9" customHeight="1"/>
    <row r="87" s="1" customFormat="1" ht="9" customHeight="1"/>
    <row r="88" s="1" customFormat="1" ht="9" customHeight="1"/>
    <row r="89" s="1" customFormat="1" ht="9" customHeight="1"/>
    <row r="90" s="1" customFormat="1" ht="9" customHeight="1"/>
    <row r="91" s="1" customFormat="1" ht="9" customHeight="1"/>
    <row r="92" s="1" customFormat="1" ht="9" customHeight="1"/>
    <row r="93" s="1" customFormat="1" ht="9" customHeight="1"/>
    <row r="94" s="1" customFormat="1" ht="9" customHeight="1"/>
    <row r="95" s="1" customFormat="1" ht="9" customHeight="1"/>
    <row r="96" s="1" customFormat="1" ht="9" customHeight="1"/>
    <row r="97" s="1" customFormat="1" ht="9" customHeight="1"/>
    <row r="98" s="1" customFormat="1" ht="9" customHeight="1"/>
    <row r="99" s="1" customFormat="1" ht="9" customHeight="1"/>
    <row r="100" s="1" customFormat="1" ht="9" customHeight="1"/>
    <row r="101" s="1" customFormat="1" ht="9" customHeight="1"/>
    <row r="102" s="1" customFormat="1" ht="9" customHeight="1"/>
    <row r="103" s="1" customFormat="1" ht="9" customHeight="1"/>
    <row r="104" s="1" customFormat="1" ht="9" customHeight="1"/>
    <row r="105" s="1" customFormat="1" ht="9" customHeight="1"/>
    <row r="106" s="1" customFormat="1" ht="9" customHeight="1"/>
    <row r="107" s="1" customFormat="1" ht="9" customHeight="1"/>
    <row r="108" s="1" customFormat="1" ht="9" customHeight="1"/>
    <row r="109" s="1" customFormat="1" ht="9" customHeight="1"/>
    <row r="110" s="1" customFormat="1" ht="9" customHeight="1"/>
    <row r="111" s="1" customFormat="1" ht="9" customHeight="1"/>
    <row r="112" s="1" customFormat="1" ht="9" customHeight="1"/>
    <row r="113" s="1" customFormat="1" ht="9" customHeight="1"/>
    <row r="114" s="1" customFormat="1" ht="9" customHeight="1"/>
    <row r="115" s="1" customFormat="1" ht="9" customHeight="1"/>
    <row r="116" s="1" customFormat="1" ht="9" customHeight="1"/>
    <row r="117" s="1" customFormat="1" ht="9" customHeight="1"/>
    <row r="118" s="1" customFormat="1" ht="9" customHeight="1"/>
    <row r="119" s="1" customFormat="1" ht="9" customHeight="1"/>
    <row r="120" s="1" customFormat="1" ht="9" customHeight="1"/>
    <row r="121" s="1" customFormat="1" ht="9" customHeight="1"/>
    <row r="122" s="1" customFormat="1" ht="9" customHeight="1"/>
    <row r="123" s="1" customFormat="1" ht="9" customHeight="1"/>
    <row r="124" s="1" customFormat="1" ht="9" customHeight="1"/>
    <row r="125" s="1" customFormat="1" ht="9" customHeight="1"/>
    <row r="126" s="1" customFormat="1" ht="9" customHeight="1"/>
    <row r="127" s="1" customFormat="1" ht="9" customHeight="1"/>
    <row r="128" s="1" customFormat="1" ht="9" customHeight="1"/>
    <row r="129" s="1" customFormat="1" ht="9" customHeight="1"/>
    <row r="130" s="1" customFormat="1" ht="9" customHeight="1"/>
    <row r="131" s="1" customFormat="1" ht="9" customHeight="1"/>
    <row r="132" s="1" customFormat="1" ht="9" customHeight="1"/>
    <row r="133" s="1" customFormat="1" ht="9" customHeight="1"/>
    <row r="134" s="1" customFormat="1" ht="9" customHeight="1"/>
    <row r="135" s="1" customFormat="1" ht="9" customHeight="1"/>
    <row r="136" s="1" customFormat="1" ht="9" customHeight="1"/>
    <row r="137" s="1" customFormat="1" ht="9" customHeight="1"/>
    <row r="138" s="1" customFormat="1" ht="9" customHeight="1"/>
    <row r="139" s="1" customFormat="1" ht="9" customHeight="1"/>
    <row r="140" s="1" customFormat="1" ht="9" customHeight="1"/>
    <row r="141" s="1" customFormat="1" ht="9" customHeight="1"/>
    <row r="142" s="1" customFormat="1" ht="9" customHeight="1"/>
    <row r="143" s="1" customFormat="1" ht="9" customHeight="1"/>
    <row r="144" s="1" customFormat="1" ht="9" customHeight="1"/>
    <row r="145" s="1" customFormat="1" ht="9" customHeight="1"/>
    <row r="146" s="1" customFormat="1" ht="9" customHeight="1"/>
    <row r="147" s="1" customFormat="1" ht="9" customHeight="1"/>
    <row r="148" s="1" customFormat="1" ht="9" customHeight="1"/>
    <row r="149" s="1" customFormat="1" ht="9" customHeight="1"/>
    <row r="150" s="1" customFormat="1" ht="9" customHeight="1"/>
    <row r="151" s="1" customFormat="1" ht="9" customHeight="1"/>
    <row r="152" s="1" customFormat="1" ht="9" customHeight="1"/>
    <row r="153" s="1" customFormat="1" ht="9" customHeight="1"/>
    <row r="154" s="1" customFormat="1" ht="9" customHeight="1"/>
    <row r="155" s="1" customFormat="1" ht="9" customHeight="1"/>
    <row r="156" s="1" customFormat="1" ht="9" customHeight="1"/>
    <row r="157" s="1" customFormat="1" ht="9" customHeight="1"/>
    <row r="158" s="1" customFormat="1" ht="9" customHeight="1"/>
    <row r="159" s="1" customFormat="1" ht="9" customHeight="1"/>
    <row r="160" s="1" customFormat="1" ht="9" customHeight="1"/>
    <row r="161" s="1" customFormat="1" ht="9" customHeight="1"/>
    <row r="162" s="1" customFormat="1" ht="9" customHeight="1"/>
    <row r="163" s="1" customFormat="1" ht="9" customHeight="1"/>
    <row r="164" s="1" customFormat="1" ht="9" customHeight="1"/>
    <row r="165" s="1" customFormat="1" ht="9" customHeight="1"/>
    <row r="166" s="1" customFormat="1" ht="9" customHeight="1"/>
    <row r="167" s="1" customFormat="1" ht="9" customHeight="1"/>
    <row r="168" s="1" customFormat="1" ht="9" customHeight="1"/>
    <row r="169" s="1" customFormat="1" ht="9" customHeight="1"/>
    <row r="170" s="1" customFormat="1" ht="9" customHeight="1"/>
    <row r="171" s="1" customFormat="1" ht="9" customHeight="1"/>
    <row r="172" s="1" customFormat="1" ht="9" customHeight="1"/>
    <row r="173" s="1" customFormat="1" ht="9" customHeight="1"/>
    <row r="174" s="1" customFormat="1" ht="9" customHeight="1"/>
    <row r="175" s="1" customFormat="1" ht="9" customHeight="1"/>
    <row r="176" s="1" customFormat="1" ht="9" customHeight="1"/>
    <row r="177" s="1" customFormat="1" ht="9" customHeight="1"/>
    <row r="178" s="1" customFormat="1" ht="9" customHeight="1"/>
    <row r="179" s="1" customFormat="1" ht="9" customHeight="1"/>
    <row r="180" s="1" customFormat="1" ht="9" customHeight="1"/>
    <row r="181" s="1" customFormat="1" ht="9" customHeight="1"/>
    <row r="182" s="1" customFormat="1" ht="9" customHeight="1"/>
    <row r="183" s="1" customFormat="1" ht="9" customHeight="1"/>
    <row r="184" s="1" customFormat="1" ht="9" customHeight="1"/>
    <row r="185" s="1" customFormat="1" ht="9" customHeight="1"/>
    <row r="186" s="1" customFormat="1" ht="9" customHeight="1"/>
  </sheetData>
  <sheetProtection algorithmName="SHA-512" hashValue="RhuJyF/kqxy0NspaupBTqXu3rubtLyqVHCF/FY/G0i+wdOiAsxUAuS//PKmndOVKUGGAF0qD+3Y68QAt8ufyCQ==" saltValue="Rwg/Slj4sE/sHP8wm0PqNQ==" spinCount="100000" sheet="1" objects="1" scenarios="1"/>
  <mergeCells count="327">
    <mergeCell ref="AI32:BM33"/>
    <mergeCell ref="AG34:AH52"/>
    <mergeCell ref="AI39:BM40"/>
    <mergeCell ref="AI52:BM52"/>
    <mergeCell ref="AD28:AG28"/>
    <mergeCell ref="B54:AQ54"/>
    <mergeCell ref="Z17:BN17"/>
    <mergeCell ref="W14:Y14"/>
    <mergeCell ref="Z14:BN14"/>
    <mergeCell ref="Z18:AH18"/>
    <mergeCell ref="B23:D23"/>
    <mergeCell ref="B24:V24"/>
    <mergeCell ref="B26:V26"/>
    <mergeCell ref="G28:K28"/>
    <mergeCell ref="U28:Y28"/>
    <mergeCell ref="W24:Y24"/>
    <mergeCell ref="W26:Y26"/>
    <mergeCell ref="Z26:BN26"/>
    <mergeCell ref="Z24:BN24"/>
    <mergeCell ref="B28:F28"/>
    <mergeCell ref="B29:F30"/>
    <mergeCell ref="L29:O30"/>
    <mergeCell ref="E23:BN23"/>
    <mergeCell ref="B25:C25"/>
    <mergeCell ref="AM1:AP2"/>
    <mergeCell ref="AY1:BB2"/>
    <mergeCell ref="A3:BN3"/>
    <mergeCell ref="Z5:AQ6"/>
    <mergeCell ref="G8:J8"/>
    <mergeCell ref="K8:R8"/>
    <mergeCell ref="S8:V8"/>
    <mergeCell ref="W8:Y8"/>
    <mergeCell ref="Z7:AC8"/>
    <mergeCell ref="AD7:AG8"/>
    <mergeCell ref="AH7:AQ8"/>
    <mergeCell ref="G7:J7"/>
    <mergeCell ref="W7:Y7"/>
    <mergeCell ref="S7:V7"/>
    <mergeCell ref="K7:M7"/>
    <mergeCell ref="AH9:AQ9"/>
    <mergeCell ref="AH10:AQ12"/>
    <mergeCell ref="AD10:AG12"/>
    <mergeCell ref="A1:AL2"/>
    <mergeCell ref="A4:BN4"/>
    <mergeCell ref="B5:F6"/>
    <mergeCell ref="G5:I6"/>
    <mergeCell ref="J5:M6"/>
    <mergeCell ref="N5:R6"/>
    <mergeCell ref="S5:U6"/>
    <mergeCell ref="V5:Y6"/>
    <mergeCell ref="B14:V14"/>
    <mergeCell ref="B16:V19"/>
    <mergeCell ref="W16:Y19"/>
    <mergeCell ref="K9:M9"/>
    <mergeCell ref="W9:Y9"/>
    <mergeCell ref="B8:F8"/>
    <mergeCell ref="B10:F12"/>
    <mergeCell ref="K10:R12"/>
    <mergeCell ref="W10:AC12"/>
    <mergeCell ref="G10:J12"/>
    <mergeCell ref="S10:V12"/>
    <mergeCell ref="AT60:BM60"/>
    <mergeCell ref="AV58:BM58"/>
    <mergeCell ref="B55:AQ60"/>
    <mergeCell ref="AI37:AJ37"/>
    <mergeCell ref="AX36:BM36"/>
    <mergeCell ref="AK36:AW36"/>
    <mergeCell ref="AK37:AW37"/>
    <mergeCell ref="AL44:AN47"/>
    <mergeCell ref="AI44:AK47"/>
    <mergeCell ref="BL47:BM47"/>
    <mergeCell ref="BH47:BK47"/>
    <mergeCell ref="BF47:BG47"/>
    <mergeCell ref="BB47:BE47"/>
    <mergeCell ref="AQ47:BA47"/>
    <mergeCell ref="AO47:AP47"/>
    <mergeCell ref="AL48:AN50"/>
    <mergeCell ref="AI48:AK50"/>
    <mergeCell ref="AT55:AX56"/>
    <mergeCell ref="H44:I44"/>
    <mergeCell ref="U44:X44"/>
    <mergeCell ref="J44:T44"/>
    <mergeCell ref="BL48:BM48"/>
    <mergeCell ref="AY55:BM56"/>
    <mergeCell ref="BH48:BK48"/>
    <mergeCell ref="AQ45:BA45"/>
    <mergeCell ref="BB45:BE45"/>
    <mergeCell ref="BB49:BE49"/>
    <mergeCell ref="BF49:BG49"/>
    <mergeCell ref="BH49:BK49"/>
    <mergeCell ref="H50:I50"/>
    <mergeCell ref="AO50:AP50"/>
    <mergeCell ref="AQ50:BA50"/>
    <mergeCell ref="BB50:BE50"/>
    <mergeCell ref="BF50:BG50"/>
    <mergeCell ref="BH50:BK50"/>
    <mergeCell ref="AA51:AD51"/>
    <mergeCell ref="AA52:AD52"/>
    <mergeCell ref="H48:I48"/>
    <mergeCell ref="BL50:BM50"/>
    <mergeCell ref="BL45:BM45"/>
    <mergeCell ref="AO44:AP44"/>
    <mergeCell ref="AQ44:BA44"/>
    <mergeCell ref="BB44:BE44"/>
    <mergeCell ref="BF44:BG44"/>
    <mergeCell ref="AO46:AP46"/>
    <mergeCell ref="AQ46:BA46"/>
    <mergeCell ref="AO45:AP45"/>
    <mergeCell ref="BH44:BK44"/>
    <mergeCell ref="BL44:BM44"/>
    <mergeCell ref="AQ49:BA49"/>
    <mergeCell ref="BL49:BM49"/>
    <mergeCell ref="AQ48:BA48"/>
    <mergeCell ref="BB48:BE48"/>
    <mergeCell ref="BF48:BG48"/>
    <mergeCell ref="BF45:BG45"/>
    <mergeCell ref="BB46:BE46"/>
    <mergeCell ref="BF46:BG46"/>
    <mergeCell ref="BH46:BK46"/>
    <mergeCell ref="BL46:BM46"/>
    <mergeCell ref="AE35:AF35"/>
    <mergeCell ref="AE36:AF36"/>
    <mergeCell ref="AE37:AF37"/>
    <mergeCell ref="B49:D52"/>
    <mergeCell ref="H49:I49"/>
    <mergeCell ref="H51:I51"/>
    <mergeCell ref="AE52:AF52"/>
    <mergeCell ref="AE46:AF46"/>
    <mergeCell ref="AE50:AF50"/>
    <mergeCell ref="AE51:AF51"/>
    <mergeCell ref="AE47:AF47"/>
    <mergeCell ref="AE48:AF48"/>
    <mergeCell ref="E46:G48"/>
    <mergeCell ref="E49:G52"/>
    <mergeCell ref="H52:I52"/>
    <mergeCell ref="H47:I47"/>
    <mergeCell ref="U49:X49"/>
    <mergeCell ref="U50:X50"/>
    <mergeCell ref="U51:X51"/>
    <mergeCell ref="Y52:Z52"/>
    <mergeCell ref="J52:T52"/>
    <mergeCell ref="J50:T50"/>
    <mergeCell ref="J51:T51"/>
    <mergeCell ref="AA50:AD50"/>
    <mergeCell ref="J36:T36"/>
    <mergeCell ref="J37:T37"/>
    <mergeCell ref="J38:T38"/>
    <mergeCell ref="Y47:Z47"/>
    <mergeCell ref="B42:D45"/>
    <mergeCell ref="H42:I42"/>
    <mergeCell ref="AX37:BM37"/>
    <mergeCell ref="AX34:BM34"/>
    <mergeCell ref="AX35:BM35"/>
    <mergeCell ref="AX38:BM38"/>
    <mergeCell ref="AE43:AF43"/>
    <mergeCell ref="AI42:AN43"/>
    <mergeCell ref="AE44:AF44"/>
    <mergeCell ref="AA43:AD43"/>
    <mergeCell ref="AA44:AD44"/>
    <mergeCell ref="AA39:AD39"/>
    <mergeCell ref="AK35:AW35"/>
    <mergeCell ref="AK38:AW38"/>
    <mergeCell ref="BB42:BM42"/>
    <mergeCell ref="AI36:AJ36"/>
    <mergeCell ref="AA35:AD35"/>
    <mergeCell ref="AA36:AD36"/>
    <mergeCell ref="AA37:AD37"/>
    <mergeCell ref="AI35:AJ35"/>
    <mergeCell ref="J42:T42"/>
    <mergeCell ref="AO49:AP49"/>
    <mergeCell ref="AO48:AP48"/>
    <mergeCell ref="AA45:AD45"/>
    <mergeCell ref="AA46:AD46"/>
    <mergeCell ref="AA47:AD47"/>
    <mergeCell ref="AE40:AF40"/>
    <mergeCell ref="AE38:AF38"/>
    <mergeCell ref="AE39:AF39"/>
    <mergeCell ref="U52:X52"/>
    <mergeCell ref="U48:X48"/>
    <mergeCell ref="AE45:AF45"/>
    <mergeCell ref="J46:T46"/>
    <mergeCell ref="J47:T47"/>
    <mergeCell ref="J48:T48"/>
    <mergeCell ref="J49:T49"/>
    <mergeCell ref="BH45:BK45"/>
    <mergeCell ref="AI41:BM41"/>
    <mergeCell ref="BB43:BG43"/>
    <mergeCell ref="BH43:BM43"/>
    <mergeCell ref="AO42:BA43"/>
    <mergeCell ref="AE49:AF49"/>
    <mergeCell ref="AE41:AF41"/>
    <mergeCell ref="AE42:AF42"/>
    <mergeCell ref="Y44:Z44"/>
    <mergeCell ref="Y45:Z45"/>
    <mergeCell ref="Y51:Z51"/>
    <mergeCell ref="Y49:Z49"/>
    <mergeCell ref="Y50:Z50"/>
    <mergeCell ref="Y48:Z48"/>
    <mergeCell ref="AA48:AD48"/>
    <mergeCell ref="Y46:Z46"/>
    <mergeCell ref="AA49:AD49"/>
    <mergeCell ref="H43:I43"/>
    <mergeCell ref="E42:G45"/>
    <mergeCell ref="U43:X43"/>
    <mergeCell ref="J43:T43"/>
    <mergeCell ref="U42:X42"/>
    <mergeCell ref="U47:X47"/>
    <mergeCell ref="AI38:AJ38"/>
    <mergeCell ref="B38:D41"/>
    <mergeCell ref="H38:I38"/>
    <mergeCell ref="Y38:Z38"/>
    <mergeCell ref="H45:I45"/>
    <mergeCell ref="U45:X45"/>
    <mergeCell ref="J45:T45"/>
    <mergeCell ref="B46:D48"/>
    <mergeCell ref="H46:I46"/>
    <mergeCell ref="U46:X46"/>
    <mergeCell ref="AA40:AD40"/>
    <mergeCell ref="AA41:AD41"/>
    <mergeCell ref="AA42:AD42"/>
    <mergeCell ref="Y41:Z41"/>
    <mergeCell ref="Y42:Z42"/>
    <mergeCell ref="Y43:Z43"/>
    <mergeCell ref="AA38:AD38"/>
    <mergeCell ref="J39:T39"/>
    <mergeCell ref="Y35:Z35"/>
    <mergeCell ref="Y39:Z39"/>
    <mergeCell ref="Y40:Z40"/>
    <mergeCell ref="H41:I41"/>
    <mergeCell ref="H39:I39"/>
    <mergeCell ref="H40:I40"/>
    <mergeCell ref="B35:D37"/>
    <mergeCell ref="Y36:Z36"/>
    <mergeCell ref="Y37:Z37"/>
    <mergeCell ref="H37:I37"/>
    <mergeCell ref="E35:G37"/>
    <mergeCell ref="E38:G41"/>
    <mergeCell ref="U35:X35"/>
    <mergeCell ref="U36:X36"/>
    <mergeCell ref="U37:X37"/>
    <mergeCell ref="U38:X38"/>
    <mergeCell ref="U39:X39"/>
    <mergeCell ref="U40:X40"/>
    <mergeCell ref="U41:X41"/>
    <mergeCell ref="H36:I36"/>
    <mergeCell ref="H35:I35"/>
    <mergeCell ref="J40:T40"/>
    <mergeCell ref="J41:T41"/>
    <mergeCell ref="J35:T35"/>
    <mergeCell ref="D25:V25"/>
    <mergeCell ref="W25:Y25"/>
    <mergeCell ref="Z25:AA25"/>
    <mergeCell ref="AB25:AO25"/>
    <mergeCell ref="AP25:BN25"/>
    <mergeCell ref="U34:Z34"/>
    <mergeCell ref="AI34:AW34"/>
    <mergeCell ref="G29:K30"/>
    <mergeCell ref="U29:Y30"/>
    <mergeCell ref="AA34:AF34"/>
    <mergeCell ref="B32:AF33"/>
    <mergeCell ref="A27:BN27"/>
    <mergeCell ref="B34:G34"/>
    <mergeCell ref="AD29:AG30"/>
    <mergeCell ref="B31:AF31"/>
    <mergeCell ref="AG31:AH31"/>
    <mergeCell ref="AG32:AH33"/>
    <mergeCell ref="H34:T34"/>
    <mergeCell ref="L28:O28"/>
    <mergeCell ref="P29:T30"/>
    <mergeCell ref="P28:T28"/>
    <mergeCell ref="Z29:AC30"/>
    <mergeCell ref="Z28:AC28"/>
    <mergeCell ref="AI31:BM31"/>
    <mergeCell ref="AB22:AO22"/>
    <mergeCell ref="AP22:BN22"/>
    <mergeCell ref="B20:C20"/>
    <mergeCell ref="D20:V20"/>
    <mergeCell ref="W20:Y20"/>
    <mergeCell ref="Z20:AA20"/>
    <mergeCell ref="AB20:AO20"/>
    <mergeCell ref="AP20:BN20"/>
    <mergeCell ref="AI18:AJ18"/>
    <mergeCell ref="AK18:AP18"/>
    <mergeCell ref="AQ18:AS18"/>
    <mergeCell ref="AT18:AU18"/>
    <mergeCell ref="B21:V21"/>
    <mergeCell ref="Z19:BN19"/>
    <mergeCell ref="W21:Y21"/>
    <mergeCell ref="Z21:BN21"/>
    <mergeCell ref="AV18:BJ18"/>
    <mergeCell ref="B22:C22"/>
    <mergeCell ref="D22:V22"/>
    <mergeCell ref="W22:Y22"/>
    <mergeCell ref="Z22:AA22"/>
    <mergeCell ref="D15:V15"/>
    <mergeCell ref="W15:Y15"/>
    <mergeCell ref="Z15:AG15"/>
    <mergeCell ref="AI15:AJ15"/>
    <mergeCell ref="AS9:AY9"/>
    <mergeCell ref="AV16:BJ16"/>
    <mergeCell ref="Z16:AQ16"/>
    <mergeCell ref="AZ9:BC9"/>
    <mergeCell ref="AV15:BJ15"/>
    <mergeCell ref="AI51:BM51"/>
    <mergeCell ref="AQ1:AX2"/>
    <mergeCell ref="BC1:BN2"/>
    <mergeCell ref="BD9:BG9"/>
    <mergeCell ref="AZ7:BC7"/>
    <mergeCell ref="BD7:BM7"/>
    <mergeCell ref="B9:F9"/>
    <mergeCell ref="G9:J9"/>
    <mergeCell ref="N9:R9"/>
    <mergeCell ref="S9:V9"/>
    <mergeCell ref="Z9:AC9"/>
    <mergeCell ref="AD9:AG9"/>
    <mergeCell ref="B7:F7"/>
    <mergeCell ref="N7:R7"/>
    <mergeCell ref="AK15:AP15"/>
    <mergeCell ref="AQ15:AS15"/>
    <mergeCell ref="AT15:AU15"/>
    <mergeCell ref="AH30:BM30"/>
    <mergeCell ref="AH28:BM29"/>
    <mergeCell ref="A13:X13"/>
    <mergeCell ref="Y13:BN13"/>
    <mergeCell ref="AT16:AU16"/>
    <mergeCell ref="AS7:AY7"/>
    <mergeCell ref="B15:C15"/>
  </mergeCells>
  <phoneticPr fontId="1"/>
  <conditionalFormatting sqref="B35:E35 B36:D37">
    <cfRule type="expression" dxfId="58" priority="134">
      <formula>$B$35="☑"</formula>
    </cfRule>
  </conditionalFormatting>
  <conditionalFormatting sqref="B46:E46 B47:D48">
    <cfRule type="expression" dxfId="57" priority="131">
      <formula>$B$46="☑"</formula>
    </cfRule>
  </conditionalFormatting>
  <conditionalFormatting sqref="B49:E49 B50:D52">
    <cfRule type="expression" dxfId="56" priority="130">
      <formula>$B$49="☑"</formula>
    </cfRule>
  </conditionalFormatting>
  <conditionalFormatting sqref="B38:G41">
    <cfRule type="expression" dxfId="55" priority="58">
      <formula>$B$38="☑"</formula>
    </cfRule>
  </conditionalFormatting>
  <conditionalFormatting sqref="B42:G45">
    <cfRule type="expression" dxfId="54" priority="40">
      <formula>$B$42="☑"</formula>
    </cfRule>
  </conditionalFormatting>
  <conditionalFormatting sqref="H35:AF52">
    <cfRule type="expression" dxfId="44" priority="23">
      <formula>$H35="☑"</formula>
    </cfRule>
  </conditionalFormatting>
  <conditionalFormatting sqref="Y13:BN13">
    <cfRule type="expression" dxfId="43" priority="1">
      <formula>$G$29="ERROR"</formula>
    </cfRule>
  </conditionalFormatting>
  <conditionalFormatting sqref="AH30 AI51">
    <cfRule type="expression" dxfId="38" priority="148">
      <formula>$G$29="禁忌"</formula>
    </cfRule>
  </conditionalFormatting>
  <conditionalFormatting sqref="AH30:BM30">
    <cfRule type="expression" dxfId="37" priority="2">
      <formula>$G$29="ERROR"</formula>
    </cfRule>
  </conditionalFormatting>
  <conditionalFormatting sqref="AI35:AK35 AX35">
    <cfRule type="expression" dxfId="36" priority="129">
      <formula>$AI$35="☑"</formula>
    </cfRule>
  </conditionalFormatting>
  <conditionalFormatting sqref="AI38:AK38 AX38">
    <cfRule type="expression" dxfId="35" priority="127">
      <formula>$AI$38="☑"</formula>
    </cfRule>
  </conditionalFormatting>
  <conditionalFormatting sqref="AI44:AN47">
    <cfRule type="expression" dxfId="34" priority="79">
      <formula>$AI$44="☑"</formula>
    </cfRule>
  </conditionalFormatting>
  <conditionalFormatting sqref="AI48:AN50">
    <cfRule type="expression" dxfId="33" priority="75">
      <formula>$AI$48="☑"</formula>
    </cfRule>
  </conditionalFormatting>
  <conditionalFormatting sqref="AI36:BM36">
    <cfRule type="expression" dxfId="26" priority="66">
      <formula>$AI$36="☑"</formula>
    </cfRule>
  </conditionalFormatting>
  <conditionalFormatting sqref="AI37:BM37">
    <cfRule type="expression" dxfId="25" priority="65">
      <formula>$AI$37="☑"</formula>
    </cfRule>
  </conditionalFormatting>
  <conditionalFormatting sqref="AO44:BM44">
    <cfRule type="expression" dxfId="24" priority="64">
      <formula>$AO$44="☑"</formula>
    </cfRule>
  </conditionalFormatting>
  <conditionalFormatting sqref="AO45:BM45">
    <cfRule type="expression" dxfId="23" priority="63">
      <formula>$AO$45="☑"</formula>
    </cfRule>
  </conditionalFormatting>
  <conditionalFormatting sqref="AO46:BM46">
    <cfRule type="expression" dxfId="22" priority="78">
      <formula>$AO$46="☑"</formula>
    </cfRule>
  </conditionalFormatting>
  <conditionalFormatting sqref="AO47:BM47">
    <cfRule type="expression" dxfId="21" priority="62">
      <formula>$AO$47="☑"</formula>
    </cfRule>
  </conditionalFormatting>
  <conditionalFormatting sqref="AO48:BM48">
    <cfRule type="expression" dxfId="20" priority="61">
      <formula>$AO$48="☑"</formula>
    </cfRule>
  </conditionalFormatting>
  <conditionalFormatting sqref="AO49:BM49">
    <cfRule type="expression" dxfId="19" priority="60">
      <formula>$AO$49="☑"</formula>
    </cfRule>
  </conditionalFormatting>
  <conditionalFormatting sqref="AO50:BM50">
    <cfRule type="expression" dxfId="18" priority="59">
      <formula>$AO$50="☑"</formula>
    </cfRule>
  </conditionalFormatting>
  <dataValidations count="5">
    <dataValidation type="decimal" imeMode="halfAlpha" operator="greaterThanOrEqual" allowBlank="1" showInputMessage="1" showErrorMessage="1" sqref="S9:V9 AD9:AG9 G9:J9" xr:uid="{B9B8DC35-CA77-4E9E-BA9D-37960209416A}">
      <formula1>0</formula1>
    </dataValidation>
    <dataValidation type="whole" operator="greaterThanOrEqual" allowBlank="1" showInputMessage="1" showErrorMessage="1" sqref="S7" xr:uid="{674B9E35-B2A0-46E6-A16E-DEAEAC1F5C76}">
      <formula1>0</formula1>
    </dataValidation>
    <dataValidation type="list" allowBlank="1" showInputMessage="1" showErrorMessage="1" sqref="G7" xr:uid="{98F83FB1-CE8E-49FA-A697-FFC08F3AEDDC}">
      <formula1>"男,女"</formula1>
    </dataValidation>
    <dataValidation imeMode="halfAlpha" allowBlank="1" showInputMessage="1" showErrorMessage="1" sqref="AQ1:AX2" xr:uid="{E2B8BF2C-7D9A-4203-A97B-677C0E8701BD}"/>
    <dataValidation imeMode="hiragana" allowBlank="1" showInputMessage="1" showErrorMessage="1" sqref="BC1:BN2 AY55:BM56 B55:AQ60" xr:uid="{0BD90EAA-63D1-4BC7-9682-F7330D9806EE}"/>
  </dataValidations>
  <printOptions horizontalCentered="1"/>
  <pageMargins left="0" right="0" top="0.19685039370078741" bottom="7.874015748031496E-2" header="0.23622047244094491" footer="0.19685039370078741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133350</xdr:rowOff>
                  </from>
                  <to>
                    <xdr:col>21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114300</xdr:rowOff>
                  </from>
                  <to>
                    <xdr:col>21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114300</xdr:rowOff>
                  </from>
                  <to>
                    <xdr:col>21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114300</xdr:rowOff>
                  </from>
                  <to>
                    <xdr:col>21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13</xdr:row>
                    <xdr:rowOff>133350</xdr:rowOff>
                  </from>
                  <to>
                    <xdr:col>40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34</xdr:col>
                    <xdr:colOff>19050</xdr:colOff>
                    <xdr:row>17</xdr:row>
                    <xdr:rowOff>0</xdr:rowOff>
                  </from>
                  <to>
                    <xdr:col>40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45</xdr:col>
                    <xdr:colOff>19050</xdr:colOff>
                    <xdr:row>14</xdr:row>
                    <xdr:rowOff>0</xdr:rowOff>
                  </from>
                  <to>
                    <xdr:col>60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45</xdr:col>
                    <xdr:colOff>19050</xdr:colOff>
                    <xdr:row>15</xdr:row>
                    <xdr:rowOff>0</xdr:rowOff>
                  </from>
                  <to>
                    <xdr:col>60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8DBA043-300B-47FA-ABFB-92D03BF5817A}">
            <xm:f>データベース!$E$27="ERROR"</xm:f>
            <x14:dxf>
              <font>
                <color theme="0" tint="-0.14996795556505021"/>
              </font>
              <fill>
                <patternFill>
                  <bgColor theme="0"/>
                </patternFill>
              </fill>
            </x14:dxf>
          </x14:cfRule>
          <xm:sqref>A15:BN15 A16:B16 W16 Z16:BN16 A17:A19 Z17:Z19 AI18:BN18 A20:BN20 A21:B21 W21 A22:BN22 E23:BN23 A23:B24 W24 A25:BN25</xm:sqref>
        </x14:conditionalFormatting>
        <x14:conditionalFormatting xmlns:xm="http://schemas.microsoft.com/office/excel/2006/main">
          <x14:cfRule type="expression" priority="5" id="{5C615C2C-3C5E-4325-8B80-B54428DB6C4D}">
            <xm:f>OR(データベース!$B$3=TRUE,データベース!$B$4=TRUE,データベース!$B$5=TRUE)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05" id="{FBDCEE54-C9C6-457B-B681-2CAF7C1A5A17}">
            <xm:f>データベース!$B$2=TRUE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B15:V15</xm:sqref>
        </x14:conditionalFormatting>
        <x14:conditionalFormatting xmlns:xm="http://schemas.microsoft.com/office/excel/2006/main">
          <x14:cfRule type="expression" priority="6" id="{14B6C116-C6AA-4247-8A9E-549D0FCD1748}">
            <xm:f>OR(データベース!$B$2=TRUE,データベース!$B$4=TRUE,データベース!$B$5=TRUE)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49" id="{426EA9C1-83DB-4C4B-AB5B-7A6C07EA196B}">
            <xm:f>データベース!$B$3=TRUE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B20:V20</xm:sqref>
        </x14:conditionalFormatting>
        <x14:conditionalFormatting xmlns:xm="http://schemas.microsoft.com/office/excel/2006/main">
          <x14:cfRule type="expression" priority="4" id="{9019C6E0-F48C-4F37-9452-30C1B4B16BFD}">
            <xm:f>OR(データベース!$B$2=TRUE,データベース!$B$3=TRUE,データベース!$B$5=TRUE)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43" id="{DDA94D9A-AD43-4E50-BF54-63E448BE47FD}">
            <xm:f>データベース!$B$4=TRUE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B22:V22</xm:sqref>
        </x14:conditionalFormatting>
        <x14:conditionalFormatting xmlns:xm="http://schemas.microsoft.com/office/excel/2006/main">
          <x14:cfRule type="expression" priority="3" id="{D2EF1F90-07D6-41EA-B6F5-0E400B2B94B7}">
            <xm:f>OR(データベース!$B$2=TRUE,データベース!$B$3=TRUE,データベース!$B$4=TRUE)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42" id="{7457B414-A46B-4E92-B357-EFB015FA0672}">
            <xm:f>データベース!$B$5=TRUE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B25:V25</xm:sqref>
        </x14:conditionalFormatting>
        <x14:conditionalFormatting xmlns:xm="http://schemas.microsoft.com/office/excel/2006/main">
          <x14:cfRule type="expression" priority="144" id="{00000000-000E-0000-0000-00007E000000}">
            <xm:f>OR($AI$38="☑",データベース!$E$27="ERROR")</xm:f>
            <x14:dxf>
              <font>
                <color rgb="FFFF0000"/>
              </font>
            </x14:dxf>
          </x14:cfRule>
          <xm:sqref>G29 U29</xm:sqref>
        </x14:conditionalFormatting>
        <x14:conditionalFormatting xmlns:xm="http://schemas.microsoft.com/office/excel/2006/main">
          <x14:cfRule type="expression" priority="138" id="{DF91C1BA-B895-4A52-9199-A6263F7DA871}">
            <xm:f>データベース!$B$2=TRUE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Z15:AG15</xm:sqref>
        </x14:conditionalFormatting>
        <x14:conditionalFormatting xmlns:xm="http://schemas.microsoft.com/office/excel/2006/main">
          <x14:cfRule type="expression" priority="139" id="{7F855D0F-C1C5-40A7-9626-0B5507762271}">
            <xm:f>データベース!$B$3=TRUE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Z20:AO20</xm:sqref>
        </x14:conditionalFormatting>
        <x14:conditionalFormatting xmlns:xm="http://schemas.microsoft.com/office/excel/2006/main">
          <x14:cfRule type="expression" priority="140" id="{307ECBCB-0118-419E-96A2-36FC9991388D}">
            <xm:f>データベース!$B$4=TRUE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Z22:AO22</xm:sqref>
        </x14:conditionalFormatting>
        <x14:conditionalFormatting xmlns:xm="http://schemas.microsoft.com/office/excel/2006/main">
          <x14:cfRule type="expression" priority="141" id="{DAFE9265-BA27-42C3-B6C4-B1990A11CBBC}">
            <xm:f>データベース!$B$5=TRUE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Z25:AO25</xm:sqref>
        </x14:conditionalFormatting>
        <x14:conditionalFormatting xmlns:xm="http://schemas.microsoft.com/office/excel/2006/main">
          <x14:cfRule type="expression" priority="8" id="{531D3D6B-BAEF-4D75-9D5D-5418F917D34D}">
            <xm:f>データベース!$B$9=TRUE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8" id="{37270F29-4D4C-4E22-8019-7ED957AE6176}">
            <xm:f>データベース!$B$2=TRUE</xm:f>
            <x14:dxf>
              <font>
                <b val="0"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14:cfRule type="expression" priority="17" id="{547E2289-E625-4719-B46C-B345365E29C6}">
            <xm:f>データベース!$B$8=TRUE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m:sqref>AI15:AP15</xm:sqref>
        </x14:conditionalFormatting>
        <x14:conditionalFormatting xmlns:xm="http://schemas.microsoft.com/office/excel/2006/main">
          <x14:cfRule type="expression" priority="16" id="{204E22D1-58AA-44BA-B33D-00CC6FA3F6EB}">
            <xm:f>データベース!$B$9=TRUE</xm:f>
            <x14:dxf>
              <font>
                <b/>
                <i val="0"/>
                <color theme="1"/>
              </font>
              <fill>
                <patternFill>
                  <bgColor rgb="FFFFFF99"/>
                </patternFill>
              </fill>
            </x14:dxf>
          </x14:cfRule>
          <xm:sqref>AI18:AP18 AT18:AV18</xm:sqref>
        </x14:conditionalFormatting>
        <x14:conditionalFormatting xmlns:xm="http://schemas.microsoft.com/office/excel/2006/main">
          <x14:cfRule type="expression" priority="15" id="{01CF4ED1-9C9C-4C60-B954-148FD43DFBD8}">
            <xm:f>データベース!$B$8=TRUE</xm:f>
            <x14:dxf>
              <font>
                <color theme="1"/>
              </font>
              <fill>
                <patternFill>
                  <fgColor theme="0"/>
                  <bgColor theme="0"/>
                </patternFill>
              </fill>
            </x14:dxf>
          </x14:cfRule>
          <x14:cfRule type="expression" priority="158" id="{BC8FA7D2-1BBF-4047-AEA4-8600EBDEEE8B}">
            <xm:f>データベース!$B$2=TRUE</xm:f>
            <x14:dxf>
              <font>
                <b val="0"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AI18:AP18</xm:sqref>
        </x14:conditionalFormatting>
        <x14:conditionalFormatting xmlns:xm="http://schemas.microsoft.com/office/excel/2006/main">
          <x14:cfRule type="expression" priority="174" id="{615A2968-01C2-4482-865F-65530381C56D}">
            <xm:f>データベース!$B$8=TRUE</xm:f>
            <x14:dxf>
              <font>
                <color rgb="FF0000FF"/>
              </font>
            </x14:dxf>
          </x14:cfRule>
          <xm:sqref>AQ15:AS15</xm:sqref>
        </x14:conditionalFormatting>
        <x14:conditionalFormatting xmlns:xm="http://schemas.microsoft.com/office/excel/2006/main">
          <x14:cfRule type="expression" priority="175" id="{304A6498-04C1-4B11-903D-32E59B9F780A}">
            <xm:f>データベース!$B$9=TRUE</xm:f>
            <x14:dxf>
              <font>
                <color rgb="FF0000FF"/>
              </font>
            </x14:dxf>
          </x14:cfRule>
          <xm:sqref>AQ18:AS18</xm:sqref>
        </x14:conditionalFormatting>
        <x14:conditionalFormatting xmlns:xm="http://schemas.microsoft.com/office/excel/2006/main">
          <x14:cfRule type="expression" priority="11" id="{36859D6A-DE1B-4FEF-BC7A-5CBB18A479F3}">
            <xm:f>AND(データベース!$B$2=TRUE,データベース!$B$8=TRUE,データベース!$B$13=TRUE)</xm:f>
            <x14:dxf>
              <font>
                <b val="0"/>
                <i val="0"/>
              </font>
              <fill>
                <patternFill>
                  <bgColor theme="0"/>
                </patternFill>
              </fill>
            </x14:dxf>
          </x14:cfRule>
          <x14:cfRule type="expression" priority="12" id="{F9436504-3DF8-4AEF-B4BB-3CCE13417C52}">
            <xm:f>AND(データベース!$B$2=TRUE,データベース!$B$8=TRUE,データベース!$B$12=TRUE)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expression" priority="13" id="{1E139BB0-BD6A-420B-9296-7255B58A3DF4}">
            <xm:f>AND(データベース!$B$2=TRUE,データベース!$B$8=TRUE)</xm:f>
            <x14:dxf>
              <font>
                <b val="0"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AT15:BJ15</xm:sqref>
        </x14:conditionalFormatting>
        <x14:conditionalFormatting xmlns:xm="http://schemas.microsoft.com/office/excel/2006/main">
          <x14:cfRule type="expression" priority="9" id="{23239933-C72A-4A7D-BC8F-D385FDF27979}">
            <xm:f>AND(データベース!$B$2=TRUE,データベース!$B$8=TRUE,データベース!$B$12=TRUE)</xm:f>
            <x14:dxf>
              <font>
                <b val="0"/>
                <i val="0"/>
              </font>
              <fill>
                <patternFill>
                  <fgColor theme="0"/>
                  <bgColor theme="0"/>
                </patternFill>
              </fill>
            </x14:dxf>
          </x14:cfRule>
          <x14:cfRule type="expression" priority="10" id="{0FB7F3A8-C9EA-4F77-9363-4447969CAA02}">
            <xm:f>AND(データベース!$B$2=TRUE,データベース!$B$8=TRUE,データベース!$B$13=TRUE)</xm:f>
            <x14:dxf>
              <font>
                <b/>
                <i val="0"/>
              </font>
              <fill>
                <patternFill>
                  <bgColor rgb="FFFFFF99"/>
                </patternFill>
              </fill>
            </x14:dxf>
          </x14:cfRule>
          <x14:cfRule type="expression" priority="14" id="{F3E26ABF-D51A-4BDC-9431-C79F2979EDD3}">
            <xm:f>AND(データベース!$B$2=TRUE,データベース!$B$8=TRUE)</xm:f>
            <x14:dxf>
              <fill>
                <patternFill>
                  <bgColor theme="8" tint="0.79998168889431442"/>
                </patternFill>
              </fill>
            </x14:dxf>
          </x14:cfRule>
          <xm:sqref>AT16:BJ16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B0A5-4892-42C7-9EAC-12DF6B986720}">
  <dimension ref="A1:AF87"/>
  <sheetViews>
    <sheetView zoomScale="80" zoomScaleNormal="80" workbookViewId="0">
      <selection activeCell="AE35" sqref="AE35"/>
    </sheetView>
  </sheetViews>
  <sheetFormatPr defaultRowHeight="27" customHeight="1"/>
  <cols>
    <col min="1" max="1" width="87.125" style="4" bestFit="1" customWidth="1"/>
    <col min="2" max="4" width="17.5" style="4" customWidth="1"/>
    <col min="5" max="5" width="26.25" style="4" bestFit="1" customWidth="1"/>
    <col min="6" max="6" width="12.5" style="4" customWidth="1"/>
    <col min="7" max="7" width="11.375" style="4" bestFit="1" customWidth="1"/>
    <col min="8" max="8" width="15" style="4" bestFit="1" customWidth="1"/>
    <col min="9" max="9" width="22.5" style="4" bestFit="1" customWidth="1"/>
    <col min="10" max="10" width="26.5" style="4" bestFit="1" customWidth="1"/>
    <col min="11" max="11" width="15.625" style="4" bestFit="1" customWidth="1"/>
    <col min="12" max="12" width="31.125" style="4" bestFit="1" customWidth="1"/>
    <col min="13" max="13" width="19" style="4" bestFit="1" customWidth="1"/>
    <col min="14" max="14" width="24.625" style="4" bestFit="1" customWidth="1"/>
    <col min="15" max="15" width="21.125" style="4" customWidth="1"/>
    <col min="16" max="16" width="28.375" style="4" bestFit="1" customWidth="1"/>
    <col min="17" max="17" width="9" style="4"/>
    <col min="18" max="18" width="14.375" style="4" bestFit="1" customWidth="1"/>
    <col min="19" max="19" width="10.625" style="4" bestFit="1" customWidth="1"/>
    <col min="20" max="20" width="18.375" style="4" bestFit="1" customWidth="1"/>
    <col min="21" max="21" width="21.625" style="12" bestFit="1" customWidth="1"/>
    <col min="22" max="22" width="21.625" style="12" customWidth="1"/>
    <col min="23" max="23" width="31.375" style="12" customWidth="1"/>
    <col min="24" max="24" width="26" style="8" bestFit="1" customWidth="1"/>
    <col min="25" max="25" width="22.5" style="8" bestFit="1" customWidth="1"/>
    <col min="26" max="26" width="22.5" style="4" bestFit="1" customWidth="1"/>
    <col min="27" max="27" width="26.5" style="12" bestFit="1" customWidth="1"/>
    <col min="28" max="28" width="19" style="8" bestFit="1" customWidth="1"/>
    <col min="29" max="29" width="12.5" style="8" bestFit="1" customWidth="1"/>
    <col min="30" max="30" width="12.5" style="4" bestFit="1" customWidth="1"/>
    <col min="31" max="31" width="60.875" style="4" bestFit="1" customWidth="1"/>
    <col min="32" max="32" width="54.375" style="4" bestFit="1" customWidth="1"/>
    <col min="33" max="34" width="11.375" style="4" bestFit="1" customWidth="1"/>
    <col min="35" max="35" width="11.375" style="4" customWidth="1"/>
    <col min="36" max="36" width="11.375" style="4" bestFit="1" customWidth="1"/>
    <col min="37" max="37" width="24" style="4" bestFit="1" customWidth="1"/>
    <col min="38" max="38" width="11.375" style="4" bestFit="1" customWidth="1"/>
    <col min="39" max="39" width="24.625" style="4" bestFit="1" customWidth="1"/>
    <col min="40" max="40" width="11.375" style="4" bestFit="1" customWidth="1"/>
    <col min="41" max="41" width="28.75" style="4" bestFit="1" customWidth="1"/>
    <col min="42" max="16384" width="9" style="4"/>
  </cols>
  <sheetData>
    <row r="1" spans="1:32" ht="27" customHeight="1">
      <c r="A1" s="7" t="s">
        <v>65</v>
      </c>
      <c r="B1" s="7" t="s">
        <v>68</v>
      </c>
      <c r="D1" s="46" t="s">
        <v>113</v>
      </c>
      <c r="F1" s="16"/>
      <c r="G1" s="47" t="s">
        <v>140</v>
      </c>
      <c r="R1" s="17" t="s">
        <v>97</v>
      </c>
      <c r="T1" s="8"/>
      <c r="Z1" s="8"/>
      <c r="AC1" s="4"/>
    </row>
    <row r="2" spans="1:32" ht="27" customHeight="1">
      <c r="A2" s="9" t="s">
        <v>13</v>
      </c>
      <c r="B2" s="10" t="b">
        <v>0</v>
      </c>
      <c r="C2" s="8"/>
      <c r="D2" s="21">
        <f>COUNTIF(カペシタビン!B35:D52,"☑")+COUNTIF(カペシタビン!AI44:AK50,"☑")</f>
        <v>0</v>
      </c>
      <c r="F2" s="1"/>
      <c r="G2" s="8" t="s">
        <v>67</v>
      </c>
      <c r="H2" s="8" t="s">
        <v>87</v>
      </c>
      <c r="I2" s="8" t="s">
        <v>137</v>
      </c>
      <c r="J2" s="8" t="s">
        <v>89</v>
      </c>
      <c r="K2" s="8" t="s">
        <v>90</v>
      </c>
      <c r="L2" s="8" t="s">
        <v>122</v>
      </c>
      <c r="M2" s="8" t="s">
        <v>86</v>
      </c>
      <c r="N2" s="8" t="s">
        <v>18</v>
      </c>
      <c r="O2" s="8" t="s">
        <v>141</v>
      </c>
      <c r="P2" s="8" t="s">
        <v>142</v>
      </c>
      <c r="R2" s="8" t="s">
        <v>114</v>
      </c>
      <c r="S2" s="8" t="s">
        <v>67</v>
      </c>
      <c r="T2" s="8" t="s">
        <v>115</v>
      </c>
      <c r="U2" s="8" t="s">
        <v>3</v>
      </c>
      <c r="V2" s="8" t="s">
        <v>136</v>
      </c>
      <c r="W2" s="8" t="s">
        <v>137</v>
      </c>
      <c r="X2" s="8" t="s">
        <v>116</v>
      </c>
      <c r="Y2" s="8" t="s">
        <v>119</v>
      </c>
      <c r="Z2" s="8" t="s">
        <v>117</v>
      </c>
      <c r="AA2" s="8" t="s">
        <v>118</v>
      </c>
      <c r="AB2" s="8" t="s">
        <v>121</v>
      </c>
      <c r="AC2" s="8" t="s">
        <v>86</v>
      </c>
      <c r="AD2" s="8" t="s">
        <v>18</v>
      </c>
      <c r="AE2" s="8" t="s">
        <v>141</v>
      </c>
      <c r="AF2" s="8" t="s">
        <v>142</v>
      </c>
    </row>
    <row r="3" spans="1:32" ht="27" customHeight="1">
      <c r="A3" s="5" t="s">
        <v>11</v>
      </c>
      <c r="B3" s="5" t="b">
        <v>0</v>
      </c>
      <c r="E3" s="1"/>
      <c r="G3" s="8" t="str">
        <f>IFERROR(MATCH("☑",カペシタビン!B35:B52,0),"0")</f>
        <v>0</v>
      </c>
      <c r="H3" s="8" t="str">
        <f>IFERROR(MATCH("☑",カペシタビン!H35:H52,0),"0")</f>
        <v>0</v>
      </c>
      <c r="I3" s="8" t="str">
        <f>IFERROR(MATCH("☑",カペシタビン!AI35:AI38,0),"0")</f>
        <v>0</v>
      </c>
      <c r="J3" s="8" t="str">
        <f>IFERROR(MATCH("☑",カペシタビン!AI44:AI50,0),"0")</f>
        <v>0</v>
      </c>
      <c r="K3" s="8" t="str">
        <f>IFERROR(MATCH("☑",カペシタビン!AO44:AO50,0),"0")</f>
        <v>0</v>
      </c>
      <c r="L3" s="8" t="str">
        <f>G3&amp;H3&amp;I3&amp;J3&amp;K3</f>
        <v>00000</v>
      </c>
      <c r="M3" s="8" t="str">
        <f>IFERROR(VLOOKUP(テーブル8[[#This Row],[通し番号合算]],テーブル7[[通し番号合算]:[備考（2行目）]],2,FALSE),"")</f>
        <v/>
      </c>
      <c r="N3" s="8" t="str">
        <f>IFERROR(VLOOKUP(テーブル8[[#This Row],[通し番号合算]],テーブル7[[通し番号合算]:[備考（2行目）]],3,FALSE),"")</f>
        <v/>
      </c>
      <c r="O3" s="8" t="str">
        <f>IFERROR(VLOOKUP(テーブル8[[#This Row],[通し番号合算]],テーブル7[[通し番号合算]:[備考（2行目）]],4,FALSE),"")</f>
        <v/>
      </c>
      <c r="P3" s="8" t="str">
        <f>IFERROR(VLOOKUP(テーブル8[[#This Row],[通し番号合算]],テーブル7[[通し番号合算]:[備考（2行目）]],5,FALSE),"")</f>
        <v/>
      </c>
      <c r="R3" s="11">
        <v>1</v>
      </c>
      <c r="S3" s="11" t="str">
        <f>VLOOKUP(テーブル7[[#This Row],[用法No.]],テーブル1[],2,FALSE)</f>
        <v>A法</v>
      </c>
      <c r="T3" s="11">
        <v>1</v>
      </c>
      <c r="U3" s="18" t="str">
        <f>VLOOKUP(テーブル7[[#This Row],[体表面積No.]],テーブル2[],2,FALSE)</f>
        <v xml:space="preserve"> 1.31㎡未満</v>
      </c>
      <c r="V3" s="11">
        <v>1</v>
      </c>
      <c r="W3" s="18" t="str">
        <f>VLOOKUP(テーブル7[[#This Row],[腎機能No.]],テーブル3[],2,FALSE)</f>
        <v>減量不要</v>
      </c>
      <c r="X3" s="3">
        <v>0</v>
      </c>
      <c r="Y3" s="3" t="str">
        <f>VLOOKUP(テーブル7[[#This Row],[1段階減量の用法No.]],テーブル4[],2,FALSE)</f>
        <v>－</v>
      </c>
      <c r="Z3" s="3">
        <v>0</v>
      </c>
      <c r="AA3" s="2" t="str">
        <f>VLOOKUP(テーブル7[[#This Row],[1段階減量の体表面積No.]],テーブル6[],2,FALSE)</f>
        <v>－</v>
      </c>
      <c r="AB3" s="8" t="str">
        <f>R3&amp;T3&amp;V3&amp;X3&amp;Z3</f>
        <v>11100</v>
      </c>
      <c r="AC3" s="14">
        <v>900</v>
      </c>
      <c r="AD3" s="14">
        <v>1800</v>
      </c>
      <c r="AE3" s="15" t="s">
        <v>112</v>
      </c>
      <c r="AF3" s="15" t="s">
        <v>147</v>
      </c>
    </row>
    <row r="4" spans="1:32" ht="27" customHeight="1">
      <c r="A4" s="9" t="s">
        <v>12</v>
      </c>
      <c r="B4" s="10" t="b">
        <v>0</v>
      </c>
      <c r="R4" s="11">
        <v>1</v>
      </c>
      <c r="S4" s="11" t="str">
        <f>VLOOKUP(テーブル7[[#This Row],[用法No.]],テーブル1[],2,FALSE)</f>
        <v>A法</v>
      </c>
      <c r="T4" s="11">
        <v>2</v>
      </c>
      <c r="U4" s="18" t="str">
        <f>VLOOKUP(テーブル7[[#This Row],[体表面積No.]],テーブル2[],2,FALSE)</f>
        <v xml:space="preserve"> 1.31㎡ 以上1.64㎡ 未満</v>
      </c>
      <c r="V4" s="11">
        <v>1</v>
      </c>
      <c r="W4" s="18" t="str">
        <f>VLOOKUP(テーブル7[[#This Row],[腎機能No.]],テーブル3[],2,FALSE)</f>
        <v>減量不要</v>
      </c>
      <c r="X4" s="3">
        <v>0</v>
      </c>
      <c r="Y4" s="3" t="str">
        <f>VLOOKUP(テーブル7[[#This Row],[1段階減量の用法No.]],テーブル4[],2,FALSE)</f>
        <v>－</v>
      </c>
      <c r="Z4" s="3">
        <v>0</v>
      </c>
      <c r="AA4" s="2" t="str">
        <f>VLOOKUP(テーブル7[[#This Row],[1段階減量の体表面積No.]],テーブル6[],2,FALSE)</f>
        <v>－</v>
      </c>
      <c r="AB4" s="8" t="str">
        <f t="shared" ref="AB4:AB38" si="0">R4&amp;T4&amp;V4&amp;X4&amp;Z4</f>
        <v>12100</v>
      </c>
      <c r="AC4" s="14">
        <v>1200</v>
      </c>
      <c r="AD4" s="14">
        <v>2400</v>
      </c>
      <c r="AE4" s="15" t="s">
        <v>112</v>
      </c>
      <c r="AF4" s="15" t="s">
        <v>147</v>
      </c>
    </row>
    <row r="5" spans="1:32" ht="27" customHeight="1">
      <c r="A5" s="5" t="s">
        <v>14</v>
      </c>
      <c r="B5" s="5" t="b">
        <v>0</v>
      </c>
      <c r="G5" s="13" t="s">
        <v>88</v>
      </c>
      <c r="I5" s="8"/>
      <c r="M5" s="8"/>
      <c r="N5" s="8"/>
      <c r="R5" s="11">
        <v>1</v>
      </c>
      <c r="S5" s="11" t="str">
        <f>VLOOKUP(テーブル7[[#This Row],[用法No.]],テーブル1[],2,FALSE)</f>
        <v>A法</v>
      </c>
      <c r="T5" s="11">
        <v>3</v>
      </c>
      <c r="U5" s="18" t="str">
        <f>VLOOKUP(テーブル7[[#This Row],[体表面積No.]],テーブル2[],2,FALSE)</f>
        <v xml:space="preserve"> 1.64㎡以上</v>
      </c>
      <c r="V5" s="11">
        <v>1</v>
      </c>
      <c r="W5" s="18" t="str">
        <f>VLOOKUP(テーブル7[[#This Row],[腎機能No.]],テーブル3[],2,FALSE)</f>
        <v>減量不要</v>
      </c>
      <c r="X5" s="3">
        <v>0</v>
      </c>
      <c r="Y5" s="3" t="str">
        <f>VLOOKUP(テーブル7[[#This Row],[1段階減量の用法No.]],テーブル4[],2,FALSE)</f>
        <v>－</v>
      </c>
      <c r="Z5" s="3">
        <v>0</v>
      </c>
      <c r="AA5" s="2" t="str">
        <f>VLOOKUP(テーブル7[[#This Row],[1段階減量の体表面積No.]],テーブル6[],2,FALSE)</f>
        <v>－</v>
      </c>
      <c r="AB5" s="8" t="str">
        <f t="shared" si="0"/>
        <v>13100</v>
      </c>
      <c r="AC5" s="14">
        <v>1500</v>
      </c>
      <c r="AD5" s="14">
        <v>3000</v>
      </c>
      <c r="AE5" s="15" t="s">
        <v>112</v>
      </c>
      <c r="AF5" s="15" t="s">
        <v>147</v>
      </c>
    </row>
    <row r="6" spans="1:32" ht="27" customHeight="1">
      <c r="B6" s="1"/>
      <c r="C6" s="8"/>
      <c r="D6" s="8"/>
      <c r="E6" s="3"/>
      <c r="G6" s="8" t="s">
        <v>91</v>
      </c>
      <c r="H6" s="8" t="s">
        <v>67</v>
      </c>
      <c r="I6" s="8" t="s">
        <v>91</v>
      </c>
      <c r="J6" s="8" t="s">
        <v>87</v>
      </c>
      <c r="K6" s="8" t="s">
        <v>136</v>
      </c>
      <c r="L6" s="8" t="s">
        <v>137</v>
      </c>
      <c r="M6" s="8" t="s">
        <v>93</v>
      </c>
      <c r="N6" s="8" t="s">
        <v>92</v>
      </c>
      <c r="O6" s="8" t="s">
        <v>91</v>
      </c>
      <c r="P6" s="8" t="s">
        <v>94</v>
      </c>
      <c r="R6" s="11">
        <v>4</v>
      </c>
      <c r="S6" s="11" t="str">
        <f>VLOOKUP(テーブル7[[#This Row],[用法No.]],テーブル1[],2,FALSE)</f>
        <v>B法</v>
      </c>
      <c r="T6" s="11">
        <v>4</v>
      </c>
      <c r="U6" s="18" t="str">
        <f>VLOOKUP(テーブル7[[#This Row],[体表面積No.]],テーブル2[],2,FALSE)</f>
        <v xml:space="preserve"> 1.33㎡未満</v>
      </c>
      <c r="V6" s="11">
        <v>1</v>
      </c>
      <c r="W6" s="18" t="str">
        <f>VLOOKUP(テーブル7[[#This Row],[腎機能No.]],テーブル3[],2,FALSE)</f>
        <v>減量不要</v>
      </c>
      <c r="X6" s="3">
        <v>0</v>
      </c>
      <c r="Y6" s="3" t="str">
        <f>VLOOKUP(テーブル7[[#This Row],[1段階減量の用法No.]],テーブル4[],2,FALSE)</f>
        <v>－</v>
      </c>
      <c r="Z6" s="3">
        <v>0</v>
      </c>
      <c r="AA6" s="2" t="str">
        <f>VLOOKUP(テーブル7[[#This Row],[1段階減量の体表面積No.]],テーブル6[],2,FALSE)</f>
        <v>－</v>
      </c>
      <c r="AB6" s="8" t="str">
        <f t="shared" si="0"/>
        <v>44100</v>
      </c>
      <c r="AC6" s="14">
        <v>1500</v>
      </c>
      <c r="AD6" s="14">
        <v>3000</v>
      </c>
      <c r="AE6" s="15" t="s">
        <v>112</v>
      </c>
      <c r="AF6" s="15" t="s">
        <v>147</v>
      </c>
    </row>
    <row r="7" spans="1:32" ht="27" customHeight="1">
      <c r="A7" s="7" t="s">
        <v>66</v>
      </c>
      <c r="B7" s="7" t="s">
        <v>68</v>
      </c>
      <c r="E7" s="1"/>
      <c r="G7" s="8">
        <v>0</v>
      </c>
      <c r="H7" s="19" t="s">
        <v>120</v>
      </c>
      <c r="I7" s="8">
        <v>0</v>
      </c>
      <c r="J7" s="15" t="s">
        <v>120</v>
      </c>
      <c r="K7" s="19">
        <v>1</v>
      </c>
      <c r="L7" s="4" t="s">
        <v>6</v>
      </c>
      <c r="M7" s="8">
        <v>0</v>
      </c>
      <c r="N7" s="19" t="s">
        <v>120</v>
      </c>
      <c r="O7" s="8">
        <v>0</v>
      </c>
      <c r="P7" s="20" t="s">
        <v>120</v>
      </c>
      <c r="R7" s="11">
        <v>4</v>
      </c>
      <c r="S7" s="11" t="str">
        <f>VLOOKUP(テーブル7[[#This Row],[用法No.]],テーブル1[],2,FALSE)</f>
        <v>B法</v>
      </c>
      <c r="T7" s="11">
        <v>5</v>
      </c>
      <c r="U7" s="18" t="str">
        <f>VLOOKUP(テーブル7[[#This Row],[体表面積No.]],テーブル2[],2,FALSE)</f>
        <v xml:space="preserve"> 1.33㎡ 以上1.57㎡ 未満</v>
      </c>
      <c r="V7" s="11">
        <v>1</v>
      </c>
      <c r="W7" s="18" t="str">
        <f>VLOOKUP(テーブル7[[#This Row],[腎機能No.]],テーブル3[],2,FALSE)</f>
        <v>減量不要</v>
      </c>
      <c r="X7" s="3">
        <v>0</v>
      </c>
      <c r="Y7" s="3" t="str">
        <f>VLOOKUP(テーブル7[[#This Row],[1段階減量の用法No.]],テーブル4[],2,FALSE)</f>
        <v>－</v>
      </c>
      <c r="Z7" s="3">
        <v>0</v>
      </c>
      <c r="AA7" s="2" t="str">
        <f>VLOOKUP(テーブル7[[#This Row],[1段階減量の体表面積No.]],テーブル6[],2,FALSE)</f>
        <v>－</v>
      </c>
      <c r="AB7" s="8" t="str">
        <f t="shared" si="0"/>
        <v>45100</v>
      </c>
      <c r="AC7" s="14">
        <v>1800</v>
      </c>
      <c r="AD7" s="14">
        <v>3600</v>
      </c>
      <c r="AE7" s="15" t="s">
        <v>112</v>
      </c>
      <c r="AF7" s="15" t="s">
        <v>147</v>
      </c>
    </row>
    <row r="8" spans="1:32" ht="27" customHeight="1">
      <c r="A8" s="9" t="s">
        <v>57</v>
      </c>
      <c r="B8" s="10" t="b">
        <v>0</v>
      </c>
      <c r="E8" s="1"/>
      <c r="G8" s="8">
        <v>1</v>
      </c>
      <c r="H8" s="8" t="s">
        <v>34</v>
      </c>
      <c r="I8" s="8">
        <v>1</v>
      </c>
      <c r="J8" s="4" t="s">
        <v>20</v>
      </c>
      <c r="K8" s="8">
        <v>2</v>
      </c>
      <c r="L8" s="4" t="s">
        <v>7</v>
      </c>
      <c r="M8" s="8">
        <v>1</v>
      </c>
      <c r="N8" s="8" t="s">
        <v>35</v>
      </c>
      <c r="O8" s="8">
        <v>1</v>
      </c>
      <c r="P8" s="12" t="s">
        <v>95</v>
      </c>
      <c r="R8" s="11">
        <v>4</v>
      </c>
      <c r="S8" s="11" t="str">
        <f>VLOOKUP(テーブル7[[#This Row],[用法No.]],テーブル1[],2,FALSE)</f>
        <v>B法</v>
      </c>
      <c r="T8" s="11">
        <v>6</v>
      </c>
      <c r="U8" s="18" t="str">
        <f>VLOOKUP(テーブル7[[#This Row],[体表面積No.]],テーブル2[],2,FALSE)</f>
        <v xml:space="preserve"> 1.57㎡ 以上1.81㎡ 未満</v>
      </c>
      <c r="V8" s="11">
        <v>1</v>
      </c>
      <c r="W8" s="18" t="str">
        <f>VLOOKUP(テーブル7[[#This Row],[腎機能No.]],テーブル3[],2,FALSE)</f>
        <v>減量不要</v>
      </c>
      <c r="X8" s="3">
        <v>0</v>
      </c>
      <c r="Y8" s="3" t="str">
        <f>VLOOKUP(テーブル7[[#This Row],[1段階減量の用法No.]],テーブル4[],2,FALSE)</f>
        <v>－</v>
      </c>
      <c r="Z8" s="3">
        <v>0</v>
      </c>
      <c r="AA8" s="2" t="str">
        <f>VLOOKUP(テーブル7[[#This Row],[1段階減量の体表面積No.]],テーブル6[],2,FALSE)</f>
        <v>－</v>
      </c>
      <c r="AB8" s="8" t="str">
        <f t="shared" si="0"/>
        <v>46100</v>
      </c>
      <c r="AC8" s="14">
        <v>2100</v>
      </c>
      <c r="AD8" s="14">
        <v>4200</v>
      </c>
      <c r="AE8" s="15" t="s">
        <v>112</v>
      </c>
      <c r="AF8" s="15" t="s">
        <v>147</v>
      </c>
    </row>
    <row r="9" spans="1:32" ht="27" customHeight="1">
      <c r="A9" s="5" t="s">
        <v>58</v>
      </c>
      <c r="B9" s="6" t="b">
        <v>0</v>
      </c>
      <c r="E9" s="1"/>
      <c r="G9" s="8">
        <v>4</v>
      </c>
      <c r="H9" s="8" t="s">
        <v>35</v>
      </c>
      <c r="I9" s="8">
        <v>2</v>
      </c>
      <c r="J9" s="4" t="s">
        <v>21</v>
      </c>
      <c r="K9" s="8">
        <v>3</v>
      </c>
      <c r="L9" s="4" t="s">
        <v>110</v>
      </c>
      <c r="M9" s="8">
        <v>5</v>
      </c>
      <c r="N9" s="8" t="s">
        <v>36</v>
      </c>
      <c r="O9" s="8">
        <v>2</v>
      </c>
      <c r="P9" s="12" t="s">
        <v>99</v>
      </c>
      <c r="R9" s="11">
        <v>4</v>
      </c>
      <c r="S9" s="11" t="str">
        <f>VLOOKUP(テーブル7[[#This Row],[用法No.]],テーブル1[],2,FALSE)</f>
        <v>B法</v>
      </c>
      <c r="T9" s="11">
        <v>7</v>
      </c>
      <c r="U9" s="18" t="str">
        <f>VLOOKUP(テーブル7[[#This Row],[体表面積No.]],テーブル2[],2,FALSE)</f>
        <v xml:space="preserve"> 1.81㎡以上</v>
      </c>
      <c r="V9" s="11">
        <v>1</v>
      </c>
      <c r="W9" s="18" t="str">
        <f>VLOOKUP(テーブル7[[#This Row],[腎機能No.]],テーブル3[],2,FALSE)</f>
        <v>減量不要</v>
      </c>
      <c r="X9" s="3">
        <v>0</v>
      </c>
      <c r="Y9" s="3" t="str">
        <f>VLOOKUP(テーブル7[[#This Row],[1段階減量の用法No.]],テーブル4[],2,FALSE)</f>
        <v>－</v>
      </c>
      <c r="Z9" s="3">
        <v>0</v>
      </c>
      <c r="AA9" s="2" t="str">
        <f>VLOOKUP(テーブル7[[#This Row],[1段階減量の体表面積No.]],テーブル6[],2,FALSE)</f>
        <v>－</v>
      </c>
      <c r="AB9" s="8" t="str">
        <f t="shared" si="0"/>
        <v>47100</v>
      </c>
      <c r="AC9" s="14">
        <v>2400</v>
      </c>
      <c r="AD9" s="14">
        <v>4800</v>
      </c>
      <c r="AE9" s="15" t="s">
        <v>112</v>
      </c>
      <c r="AF9" s="15" t="s">
        <v>147</v>
      </c>
    </row>
    <row r="10" spans="1:32" ht="27" customHeight="1">
      <c r="G10" s="8">
        <v>8</v>
      </c>
      <c r="H10" s="8" t="s">
        <v>36</v>
      </c>
      <c r="I10" s="8">
        <v>3</v>
      </c>
      <c r="J10" s="4" t="s">
        <v>22</v>
      </c>
      <c r="K10" s="8">
        <v>4</v>
      </c>
      <c r="L10" s="4" t="s">
        <v>8</v>
      </c>
      <c r="M10" s="8"/>
      <c r="N10" s="8"/>
      <c r="O10" s="8">
        <v>3</v>
      </c>
      <c r="P10" s="12" t="s">
        <v>101</v>
      </c>
      <c r="R10" s="11">
        <v>8</v>
      </c>
      <c r="S10" s="11" t="str">
        <f>VLOOKUP(テーブル7[[#This Row],[用法No.]],テーブル1[],2,FALSE)</f>
        <v>C法</v>
      </c>
      <c r="T10" s="11">
        <v>8</v>
      </c>
      <c r="U10" s="18" t="str">
        <f>VLOOKUP(テーブル7[[#This Row],[体表面積No.]],テーブル2[],2,FALSE)</f>
        <v xml:space="preserve"> 1.36㎡未満</v>
      </c>
      <c r="V10" s="11">
        <v>1</v>
      </c>
      <c r="W10" s="18" t="str">
        <f>VLOOKUP(テーブル7[[#This Row],[腎機能No.]],テーブル3[],2,FALSE)</f>
        <v>減量不要</v>
      </c>
      <c r="X10" s="3">
        <v>0</v>
      </c>
      <c r="Y10" s="3" t="str">
        <f>VLOOKUP(テーブル7[[#This Row],[1段階減量の用法No.]],テーブル4[],2,FALSE)</f>
        <v>－</v>
      </c>
      <c r="Z10" s="3">
        <v>0</v>
      </c>
      <c r="AA10" s="2" t="str">
        <f>VLOOKUP(テーブル7[[#This Row],[1段階減量の体表面積No.]],テーブル6[],2,FALSE)</f>
        <v>－</v>
      </c>
      <c r="AB10" s="8" t="str">
        <f t="shared" si="0"/>
        <v>88100</v>
      </c>
      <c r="AC10" s="14">
        <v>1200</v>
      </c>
      <c r="AD10" s="14">
        <v>2400</v>
      </c>
      <c r="AE10" s="15" t="s">
        <v>112</v>
      </c>
      <c r="AF10" s="15" t="s">
        <v>147</v>
      </c>
    </row>
    <row r="11" spans="1:32" ht="27" customHeight="1">
      <c r="A11" s="7" t="s">
        <v>67</v>
      </c>
      <c r="B11" s="7" t="s">
        <v>68</v>
      </c>
      <c r="G11" s="8">
        <v>12</v>
      </c>
      <c r="H11" s="8" t="s">
        <v>37</v>
      </c>
      <c r="I11" s="8">
        <v>4</v>
      </c>
      <c r="J11" s="4" t="s">
        <v>23</v>
      </c>
      <c r="M11" s="8"/>
      <c r="N11" s="8"/>
      <c r="O11" s="8">
        <v>4</v>
      </c>
      <c r="P11" s="12" t="s">
        <v>103</v>
      </c>
      <c r="R11" s="11">
        <v>8</v>
      </c>
      <c r="S11" s="11" t="str">
        <f>VLOOKUP(テーブル7[[#This Row],[用法No.]],テーブル1[],2,FALSE)</f>
        <v>C法</v>
      </c>
      <c r="T11" s="11">
        <v>9</v>
      </c>
      <c r="U11" s="18" t="str">
        <f>VLOOKUP(テーブル7[[#This Row],[体表面積No.]],テーブル2[],2,FALSE)</f>
        <v xml:space="preserve"> 1.36㎡ 以上1.66㎡ 未満</v>
      </c>
      <c r="V11" s="11">
        <v>1</v>
      </c>
      <c r="W11" s="18" t="str">
        <f>VLOOKUP(テーブル7[[#This Row],[腎機能No.]],テーブル3[],2,FALSE)</f>
        <v>減量不要</v>
      </c>
      <c r="X11" s="3">
        <v>0</v>
      </c>
      <c r="Y11" s="3" t="str">
        <f>VLOOKUP(テーブル7[[#This Row],[1段階減量の用法No.]],テーブル4[],2,FALSE)</f>
        <v>－</v>
      </c>
      <c r="Z11" s="3">
        <v>0</v>
      </c>
      <c r="AA11" s="2" t="str">
        <f>VLOOKUP(テーブル7[[#This Row],[1段階減量の体表面積No.]],テーブル6[],2,FALSE)</f>
        <v>－</v>
      </c>
      <c r="AB11" s="8" t="str">
        <f t="shared" si="0"/>
        <v>89100</v>
      </c>
      <c r="AC11" s="14">
        <v>1500</v>
      </c>
      <c r="AD11" s="14">
        <v>3000</v>
      </c>
      <c r="AE11" s="15" t="s">
        <v>112</v>
      </c>
      <c r="AF11" s="15" t="s">
        <v>147</v>
      </c>
    </row>
    <row r="12" spans="1:32" ht="27" customHeight="1">
      <c r="A12" s="9" t="s">
        <v>60</v>
      </c>
      <c r="B12" s="10" t="b">
        <v>0</v>
      </c>
      <c r="G12" s="8">
        <v>15</v>
      </c>
      <c r="H12" s="8" t="s">
        <v>38</v>
      </c>
      <c r="I12" s="8">
        <v>5</v>
      </c>
      <c r="J12" s="4" t="s">
        <v>24</v>
      </c>
      <c r="M12" s="8"/>
      <c r="N12" s="8"/>
      <c r="O12" s="8">
        <v>5</v>
      </c>
      <c r="P12" s="12" t="s">
        <v>96</v>
      </c>
      <c r="R12" s="11">
        <v>8</v>
      </c>
      <c r="S12" s="11" t="str">
        <f>VLOOKUP(テーブル7[[#This Row],[用法No.]],テーブル1[],2,FALSE)</f>
        <v>C法</v>
      </c>
      <c r="T12" s="11">
        <v>10</v>
      </c>
      <c r="U12" s="18" t="str">
        <f>VLOOKUP(テーブル7[[#This Row],[体表面積No.]],テーブル2[],2,FALSE)</f>
        <v xml:space="preserve"> 1.66㎡ 以上1.96㎡ 未満</v>
      </c>
      <c r="V12" s="11">
        <v>1</v>
      </c>
      <c r="W12" s="18" t="str">
        <f>VLOOKUP(テーブル7[[#This Row],[腎機能No.]],テーブル3[],2,FALSE)</f>
        <v>減量不要</v>
      </c>
      <c r="X12" s="3">
        <v>0</v>
      </c>
      <c r="Y12" s="3" t="str">
        <f>VLOOKUP(テーブル7[[#This Row],[1段階減量の用法No.]],テーブル4[],2,FALSE)</f>
        <v>－</v>
      </c>
      <c r="Z12" s="3">
        <v>0</v>
      </c>
      <c r="AA12" s="2" t="str">
        <f>VLOOKUP(テーブル7[[#This Row],[1段階減量の体表面積No.]],テーブル6[],2,FALSE)</f>
        <v>－</v>
      </c>
      <c r="AB12" s="8" t="str">
        <f t="shared" si="0"/>
        <v>810100</v>
      </c>
      <c r="AC12" s="14">
        <v>1800</v>
      </c>
      <c r="AD12" s="14">
        <v>3600</v>
      </c>
      <c r="AE12" s="15" t="s">
        <v>112</v>
      </c>
      <c r="AF12" s="15" t="s">
        <v>147</v>
      </c>
    </row>
    <row r="13" spans="1:32" ht="27" customHeight="1">
      <c r="A13" s="5" t="s">
        <v>61</v>
      </c>
      <c r="B13" s="5" t="b">
        <v>0</v>
      </c>
      <c r="I13" s="8">
        <v>6</v>
      </c>
      <c r="J13" s="4" t="s">
        <v>25</v>
      </c>
      <c r="M13" s="8"/>
      <c r="N13" s="8"/>
      <c r="O13" s="8">
        <v>6</v>
      </c>
      <c r="P13" s="12" t="s">
        <v>105</v>
      </c>
      <c r="R13" s="11">
        <v>8</v>
      </c>
      <c r="S13" s="11" t="str">
        <f>VLOOKUP(テーブル7[[#This Row],[用法No.]],テーブル1[],2,FALSE)</f>
        <v>C法</v>
      </c>
      <c r="T13" s="11">
        <v>11</v>
      </c>
      <c r="U13" s="18" t="str">
        <f>VLOOKUP(テーブル7[[#This Row],[体表面積No.]],テーブル2[],2,FALSE)</f>
        <v xml:space="preserve"> 1.96㎡以上</v>
      </c>
      <c r="V13" s="11">
        <v>1</v>
      </c>
      <c r="W13" s="18" t="str">
        <f>VLOOKUP(テーブル7[[#This Row],[腎機能No.]],テーブル3[],2,FALSE)</f>
        <v>減量不要</v>
      </c>
      <c r="X13" s="3">
        <v>0</v>
      </c>
      <c r="Y13" s="3" t="str">
        <f>VLOOKUP(テーブル7[[#This Row],[1段階減量の用法No.]],テーブル4[],2,FALSE)</f>
        <v>－</v>
      </c>
      <c r="Z13" s="3">
        <v>0</v>
      </c>
      <c r="AA13" s="2" t="str">
        <f>VLOOKUP(テーブル7[[#This Row],[1段階減量の体表面積No.]],テーブル6[],2,FALSE)</f>
        <v>－</v>
      </c>
      <c r="AB13" s="8" t="str">
        <f t="shared" si="0"/>
        <v>811100</v>
      </c>
      <c r="AC13" s="14">
        <v>2100</v>
      </c>
      <c r="AD13" s="14">
        <v>4200</v>
      </c>
      <c r="AE13" s="15" t="s">
        <v>112</v>
      </c>
      <c r="AF13" s="15" t="s">
        <v>147</v>
      </c>
    </row>
    <row r="14" spans="1:32" ht="27" customHeight="1">
      <c r="I14" s="8">
        <v>7</v>
      </c>
      <c r="J14" s="4" t="s">
        <v>26</v>
      </c>
      <c r="M14" s="8"/>
      <c r="N14" s="8"/>
      <c r="O14" s="8">
        <v>7</v>
      </c>
      <c r="P14" s="12" t="s">
        <v>26</v>
      </c>
      <c r="R14" s="11">
        <v>12</v>
      </c>
      <c r="S14" s="11" t="str">
        <f>VLOOKUP(テーブル7[[#This Row],[用法No.]],テーブル1[],2,FALSE)</f>
        <v>D法</v>
      </c>
      <c r="T14" s="11">
        <v>12</v>
      </c>
      <c r="U14" s="18" t="str">
        <f>VLOOKUP(テーブル7[[#This Row],[体表面積No.]],テーブル2[],2,FALSE)</f>
        <v xml:space="preserve"> 1.31㎡未満</v>
      </c>
      <c r="V14" s="11">
        <v>1</v>
      </c>
      <c r="W14" s="18" t="str">
        <f>VLOOKUP(テーブル7[[#This Row],[腎機能No.]],テーブル3[],2,FALSE)</f>
        <v>減量不要</v>
      </c>
      <c r="X14" s="3">
        <v>0</v>
      </c>
      <c r="Y14" s="3" t="str">
        <f>VLOOKUP(テーブル7[[#This Row],[1段階減量の用法No.]],テーブル4[],2,FALSE)</f>
        <v>－</v>
      </c>
      <c r="Z14" s="3">
        <v>0</v>
      </c>
      <c r="AA14" s="2" t="str">
        <f>VLOOKUP(テーブル7[[#This Row],[1段階減量の体表面積No.]],テーブル6[],2,FALSE)</f>
        <v>－</v>
      </c>
      <c r="AB14" s="8" t="str">
        <f t="shared" si="0"/>
        <v>1212100</v>
      </c>
      <c r="AC14" s="14">
        <v>900</v>
      </c>
      <c r="AD14" s="14">
        <v>1800</v>
      </c>
      <c r="AE14" s="15" t="s">
        <v>112</v>
      </c>
      <c r="AF14" s="15" t="s">
        <v>147</v>
      </c>
    </row>
    <row r="15" spans="1:32" ht="27" customHeight="1">
      <c r="I15" s="8">
        <v>8</v>
      </c>
      <c r="J15" s="4" t="s">
        <v>27</v>
      </c>
      <c r="M15" s="8"/>
      <c r="N15" s="8"/>
      <c r="O15" s="8"/>
      <c r="P15" s="12"/>
      <c r="R15" s="11">
        <v>12</v>
      </c>
      <c r="S15" s="11" t="str">
        <f>VLOOKUP(テーブル7[[#This Row],[用法No.]],テーブル1[],2,FALSE)</f>
        <v>D法</v>
      </c>
      <c r="T15" s="11">
        <v>13</v>
      </c>
      <c r="U15" s="18" t="str">
        <f>VLOOKUP(テーブル7[[#This Row],[体表面積No.]],テーブル2[],2,FALSE)</f>
        <v xml:space="preserve"> 1.31㎡ 以上1.64㎡ 未満</v>
      </c>
      <c r="V15" s="11">
        <v>1</v>
      </c>
      <c r="W15" s="18" t="str">
        <f>VLOOKUP(テーブル7[[#This Row],[腎機能No.]],テーブル3[],2,FALSE)</f>
        <v>減量不要</v>
      </c>
      <c r="X15" s="3">
        <v>0</v>
      </c>
      <c r="Y15" s="3" t="str">
        <f>VLOOKUP(テーブル7[[#This Row],[1段階減量の用法No.]],テーブル4[],2,FALSE)</f>
        <v>－</v>
      </c>
      <c r="Z15" s="3">
        <v>0</v>
      </c>
      <c r="AA15" s="2" t="str">
        <f>VLOOKUP(テーブル7[[#This Row],[1段階減量の体表面積No.]],テーブル6[],2,FALSE)</f>
        <v>－</v>
      </c>
      <c r="AB15" s="8" t="str">
        <f t="shared" si="0"/>
        <v>1213100</v>
      </c>
      <c r="AC15" s="14">
        <v>1200</v>
      </c>
      <c r="AD15" s="14">
        <v>2400</v>
      </c>
      <c r="AE15" s="15" t="s">
        <v>112</v>
      </c>
      <c r="AF15" s="15" t="s">
        <v>147</v>
      </c>
    </row>
    <row r="16" spans="1:32" ht="27" customHeight="1">
      <c r="A16" s="7" t="s">
        <v>130</v>
      </c>
      <c r="B16" s="214" t="s">
        <v>131</v>
      </c>
      <c r="C16" s="215"/>
      <c r="D16" s="216"/>
      <c r="E16" s="7" t="s">
        <v>123</v>
      </c>
      <c r="I16" s="8">
        <v>9</v>
      </c>
      <c r="J16" s="4" t="s">
        <v>28</v>
      </c>
      <c r="M16" s="8"/>
      <c r="N16" s="8"/>
      <c r="O16" s="8"/>
      <c r="P16" s="12"/>
      <c r="R16" s="11">
        <v>12</v>
      </c>
      <c r="S16" s="11" t="str">
        <f>VLOOKUP(テーブル7[[#This Row],[用法No.]],テーブル1[],2,FALSE)</f>
        <v>D法</v>
      </c>
      <c r="T16" s="11">
        <v>14</v>
      </c>
      <c r="U16" s="18" t="str">
        <f>VLOOKUP(テーブル7[[#This Row],[体表面積No.]],テーブル2[],2,FALSE)</f>
        <v xml:space="preserve"> 1.64㎡以上</v>
      </c>
      <c r="V16" s="11">
        <v>1</v>
      </c>
      <c r="W16" s="18" t="str">
        <f>VLOOKUP(テーブル7[[#This Row],[腎機能No.]],テーブル3[],2,FALSE)</f>
        <v>減量不要</v>
      </c>
      <c r="X16" s="3">
        <v>0</v>
      </c>
      <c r="Y16" s="3" t="str">
        <f>VLOOKUP(テーブル7[[#This Row],[1段階減量の用法No.]],テーブル4[],2,FALSE)</f>
        <v>－</v>
      </c>
      <c r="Z16" s="3">
        <v>0</v>
      </c>
      <c r="AA16" s="2" t="str">
        <f>VLOOKUP(テーブル7[[#This Row],[1段階減量の体表面積No.]],テーブル6[],2,FALSE)</f>
        <v>－</v>
      </c>
      <c r="AB16" s="8" t="str">
        <f t="shared" si="0"/>
        <v>1214100</v>
      </c>
      <c r="AC16" s="14">
        <v>1500</v>
      </c>
      <c r="AD16" s="14">
        <v>3000</v>
      </c>
      <c r="AE16" s="15" t="s">
        <v>112</v>
      </c>
      <c r="AF16" s="15" t="s">
        <v>147</v>
      </c>
    </row>
    <row r="17" spans="1:32" ht="27" customHeight="1">
      <c r="A17" s="10" t="s">
        <v>124</v>
      </c>
      <c r="B17" s="217">
        <f>COUNTIF(B2:B5,TRUE)</f>
        <v>0</v>
      </c>
      <c r="C17" s="219"/>
      <c r="D17" s="218"/>
      <c r="E17" s="22" t="str">
        <f>IF(B17&gt;=2,"ERROR","SAFE")</f>
        <v>SAFE</v>
      </c>
      <c r="I17" s="8">
        <v>10</v>
      </c>
      <c r="J17" s="4" t="s">
        <v>29</v>
      </c>
      <c r="M17" s="8"/>
      <c r="N17" s="8"/>
      <c r="O17" s="8"/>
      <c r="P17" s="12"/>
      <c r="R17" s="11">
        <v>15</v>
      </c>
      <c r="S17" s="11" t="str">
        <f>VLOOKUP(テーブル7[[#This Row],[用法No.]],テーブル1[],2,FALSE)</f>
        <v>E法</v>
      </c>
      <c r="T17" s="11">
        <v>15</v>
      </c>
      <c r="U17" s="18" t="str">
        <f>VLOOKUP(テーブル7[[#This Row],[体表面積No.]],テーブル2[],2,FALSE)</f>
        <v xml:space="preserve"> 1.31㎡未満</v>
      </c>
      <c r="V17" s="11">
        <v>1</v>
      </c>
      <c r="W17" s="18" t="str">
        <f>VLOOKUP(テーブル7[[#This Row],[腎機能No.]],テーブル3[],2,FALSE)</f>
        <v>減量不要</v>
      </c>
      <c r="X17" s="3">
        <v>0</v>
      </c>
      <c r="Y17" s="3" t="str">
        <f>VLOOKUP(テーブル7[[#This Row],[1段階減量の用法No.]],テーブル4[],2,FALSE)</f>
        <v>－</v>
      </c>
      <c r="Z17" s="3">
        <v>0</v>
      </c>
      <c r="AA17" s="2" t="str">
        <f>VLOOKUP(テーブル7[[#This Row],[1段階減量の体表面積No.]],テーブル6[],2,FALSE)</f>
        <v>－</v>
      </c>
      <c r="AB17" s="8" t="str">
        <f t="shared" si="0"/>
        <v>1515100</v>
      </c>
      <c r="AC17" s="14">
        <v>900</v>
      </c>
      <c r="AD17" s="14">
        <v>1800</v>
      </c>
      <c r="AE17" s="15" t="s">
        <v>112</v>
      </c>
      <c r="AF17" s="15" t="s">
        <v>147</v>
      </c>
    </row>
    <row r="18" spans="1:32" ht="27" customHeight="1">
      <c r="A18" s="6" t="s">
        <v>125</v>
      </c>
      <c r="B18" s="212">
        <f>COUNTIF(B8:B9,TRUE)</f>
        <v>0</v>
      </c>
      <c r="C18" s="220"/>
      <c r="D18" s="213"/>
      <c r="E18" s="23" t="str">
        <f>IF(B18&gt;=2,"ERROR","SAFE")</f>
        <v>SAFE</v>
      </c>
      <c r="I18" s="8">
        <v>11</v>
      </c>
      <c r="J18" s="4" t="s">
        <v>30</v>
      </c>
      <c r="M18" s="8"/>
      <c r="N18" s="8"/>
      <c r="O18" s="8"/>
      <c r="P18" s="12"/>
      <c r="R18" s="11">
        <v>15</v>
      </c>
      <c r="S18" s="11" t="str">
        <f>VLOOKUP(テーブル7[[#This Row],[用法No.]],テーブル1[],2,FALSE)</f>
        <v>E法</v>
      </c>
      <c r="T18" s="11">
        <v>16</v>
      </c>
      <c r="U18" s="18" t="str">
        <f>VLOOKUP(テーブル7[[#This Row],[体表面積No.]],テーブル2[],2,FALSE)</f>
        <v xml:space="preserve"> 1.31㎡ 以上1.69㎡ 未満</v>
      </c>
      <c r="V18" s="11">
        <v>1</v>
      </c>
      <c r="W18" s="18" t="str">
        <f>VLOOKUP(テーブル7[[#This Row],[腎機能No.]],テーブル3[],2,FALSE)</f>
        <v>減量不要</v>
      </c>
      <c r="X18" s="3">
        <v>0</v>
      </c>
      <c r="Y18" s="3" t="str">
        <f>VLOOKUP(テーブル7[[#This Row],[1段階減量の用法No.]],テーブル4[],2,FALSE)</f>
        <v>－</v>
      </c>
      <c r="Z18" s="3">
        <v>0</v>
      </c>
      <c r="AA18" s="2" t="str">
        <f>VLOOKUP(テーブル7[[#This Row],[1段階減量の体表面積No.]],テーブル6[],2,FALSE)</f>
        <v>－</v>
      </c>
      <c r="AB18" s="8" t="str">
        <f t="shared" si="0"/>
        <v>1516100</v>
      </c>
      <c r="AC18" s="14">
        <v>1200</v>
      </c>
      <c r="AD18" s="14">
        <v>2400</v>
      </c>
      <c r="AE18" s="15" t="s">
        <v>112</v>
      </c>
      <c r="AF18" s="15" t="s">
        <v>147</v>
      </c>
    </row>
    <row r="19" spans="1:32" ht="27" customHeight="1">
      <c r="A19" s="10" t="s">
        <v>126</v>
      </c>
      <c r="B19" s="217">
        <f>COUNTIF(B12:B13,TRUE)</f>
        <v>0</v>
      </c>
      <c r="C19" s="219"/>
      <c r="D19" s="218"/>
      <c r="E19" s="22" t="str">
        <f>IF(B19&gt;=2,"ERROR","SAFE")</f>
        <v>SAFE</v>
      </c>
      <c r="I19" s="8">
        <v>12</v>
      </c>
      <c r="J19" s="4" t="s">
        <v>20</v>
      </c>
      <c r="M19" s="8"/>
      <c r="N19" s="8"/>
      <c r="R19" s="11">
        <v>15</v>
      </c>
      <c r="S19" s="11" t="str">
        <f>VLOOKUP(テーブル7[[#This Row],[用法No.]],テーブル1[],2,FALSE)</f>
        <v>E法</v>
      </c>
      <c r="T19" s="11">
        <v>17</v>
      </c>
      <c r="U19" s="18" t="str">
        <f>VLOOKUP(テーブル7[[#This Row],[体表面積No.]],テーブル2[],2,FALSE)</f>
        <v xml:space="preserve"> 1.69㎡ 以上2.07㎡ 未満</v>
      </c>
      <c r="V19" s="11">
        <v>1</v>
      </c>
      <c r="W19" s="18" t="str">
        <f>VLOOKUP(テーブル7[[#This Row],[腎機能No.]],テーブル3[],2,FALSE)</f>
        <v>減量不要</v>
      </c>
      <c r="X19" s="3">
        <v>0</v>
      </c>
      <c r="Y19" s="3" t="str">
        <f>VLOOKUP(テーブル7[[#This Row],[1段階減量の用法No.]],テーブル4[],2,FALSE)</f>
        <v>－</v>
      </c>
      <c r="Z19" s="3">
        <v>0</v>
      </c>
      <c r="AA19" s="2" t="str">
        <f>VLOOKUP(テーブル7[[#This Row],[1段階減量の体表面積No.]],テーブル6[],2,FALSE)</f>
        <v>－</v>
      </c>
      <c r="AB19" s="8" t="str">
        <f t="shared" si="0"/>
        <v>1517100</v>
      </c>
      <c r="AC19" s="14">
        <v>1500</v>
      </c>
      <c r="AD19" s="14">
        <v>3000</v>
      </c>
      <c r="AE19" s="15" t="s">
        <v>112</v>
      </c>
      <c r="AF19" s="15" t="s">
        <v>147</v>
      </c>
    </row>
    <row r="20" spans="1:32" ht="27" customHeight="1">
      <c r="A20" s="6" t="s">
        <v>127</v>
      </c>
      <c r="B20" s="23">
        <f>COUNTIF(B2,TRUE)</f>
        <v>0</v>
      </c>
      <c r="C20" s="212">
        <f>COUNTIF(B8:B9,TRUE)</f>
        <v>0</v>
      </c>
      <c r="D20" s="213"/>
      <c r="E20" s="23" t="str">
        <f>IF(AND(B20=1,C20=2),"ERROR","SAFE")</f>
        <v>SAFE</v>
      </c>
      <c r="I20" s="8">
        <v>13</v>
      </c>
      <c r="J20" s="4" t="s">
        <v>21</v>
      </c>
      <c r="M20" s="8"/>
      <c r="N20" s="8"/>
      <c r="R20" s="11">
        <v>15</v>
      </c>
      <c r="S20" s="11" t="str">
        <f>VLOOKUP(テーブル7[[#This Row],[用法No.]],テーブル1[],2,FALSE)</f>
        <v>E法</v>
      </c>
      <c r="T20" s="11">
        <v>18</v>
      </c>
      <c r="U20" s="18" t="str">
        <f>VLOOKUP(テーブル7[[#This Row],[体表面積No.]],テーブル2[],2,FALSE)</f>
        <v xml:space="preserve"> 2.07㎡以上</v>
      </c>
      <c r="V20" s="11">
        <v>1</v>
      </c>
      <c r="W20" s="18" t="str">
        <f>VLOOKUP(テーブル7[[#This Row],[腎機能No.]],テーブル3[],2,FALSE)</f>
        <v>減量不要</v>
      </c>
      <c r="X20" s="3">
        <v>0</v>
      </c>
      <c r="Y20" s="3" t="str">
        <f>VLOOKUP(テーブル7[[#This Row],[1段階減量の用法No.]],テーブル4[],2,FALSE)</f>
        <v>－</v>
      </c>
      <c r="Z20" s="3">
        <v>0</v>
      </c>
      <c r="AA20" s="2" t="str">
        <f>VLOOKUP(テーブル7[[#This Row],[1段階減量の体表面積No.]],テーブル6[],2,FALSE)</f>
        <v>－</v>
      </c>
      <c r="AB20" s="8" t="str">
        <f t="shared" si="0"/>
        <v>1518100</v>
      </c>
      <c r="AC20" s="14">
        <v>1800</v>
      </c>
      <c r="AD20" s="14">
        <v>3600</v>
      </c>
      <c r="AE20" s="15" t="s">
        <v>112</v>
      </c>
      <c r="AF20" s="15" t="s">
        <v>147</v>
      </c>
    </row>
    <row r="21" spans="1:32" ht="27" customHeight="1">
      <c r="A21" s="10" t="s">
        <v>138</v>
      </c>
      <c r="B21" s="22">
        <f>COUNTIF(B2,TRUE)</f>
        <v>0</v>
      </c>
      <c r="C21" s="22">
        <f>COUNTIF(B8:B9,TRUE)</f>
        <v>0</v>
      </c>
      <c r="D21" s="22">
        <f>COUNTIF(B12:B13,TRUE)</f>
        <v>0</v>
      </c>
      <c r="E21" s="22" t="str">
        <f>IF(AND(B21=1,C21=0,D21&gt;=1),"ERROR","SAFE")</f>
        <v>SAFE</v>
      </c>
      <c r="I21" s="8">
        <v>14</v>
      </c>
      <c r="J21" s="4" t="s">
        <v>22</v>
      </c>
      <c r="M21" s="8"/>
      <c r="N21" s="8"/>
      <c r="R21" s="11">
        <v>1</v>
      </c>
      <c r="S21" s="11" t="str">
        <f>VLOOKUP(テーブル7[[#This Row],[用法No.]],テーブル1[],2,FALSE)</f>
        <v>A法</v>
      </c>
      <c r="T21" s="11">
        <v>1</v>
      </c>
      <c r="U21" s="18" t="str">
        <f>VLOOKUP(テーブル7[[#This Row],[体表面積No.]],テーブル2[],2,FALSE)</f>
        <v xml:space="preserve"> 1.31㎡未満</v>
      </c>
      <c r="V21" s="11">
        <v>2</v>
      </c>
      <c r="W21" s="18" t="str">
        <f>VLOOKUP(テーブル7[[#This Row],[腎機能No.]],テーブル3[],2,FALSE)</f>
        <v>75%用量に減量</v>
      </c>
      <c r="X21" s="3">
        <v>0</v>
      </c>
      <c r="Y21" s="3" t="str">
        <f>VLOOKUP(テーブル7[[#This Row],[1段階減量の用法No.]],テーブル4[],2,FALSE)</f>
        <v>－</v>
      </c>
      <c r="Z21" s="3">
        <v>0</v>
      </c>
      <c r="AA21" s="2" t="str">
        <f>VLOOKUP(テーブル7[[#This Row],[1段階減量の体表面積No.]],テーブル6[],2,FALSE)</f>
        <v>－</v>
      </c>
      <c r="AB21" s="8" t="str">
        <f t="shared" si="0"/>
        <v>11200</v>
      </c>
      <c r="AC21" s="14">
        <f>AC3*0.75</f>
        <v>675</v>
      </c>
      <c r="AD21" s="14">
        <f>AC21*2</f>
        <v>1350</v>
      </c>
      <c r="AE21" s="15" t="s">
        <v>145</v>
      </c>
      <c r="AF21" s="15" t="s">
        <v>144</v>
      </c>
    </row>
    <row r="22" spans="1:32" ht="27" customHeight="1">
      <c r="A22" s="6" t="s">
        <v>128</v>
      </c>
      <c r="B22" s="23">
        <f>COUNTIF(B3:B5,TRUE)</f>
        <v>0</v>
      </c>
      <c r="C22" s="212">
        <f>COUNTIF(B8:B9,TRUE)</f>
        <v>0</v>
      </c>
      <c r="D22" s="213"/>
      <c r="E22" s="23" t="str">
        <f>IF(AND(B22=1,C22&gt;=1),"ERROR","SAFE")</f>
        <v>SAFE</v>
      </c>
      <c r="I22" s="8">
        <v>15</v>
      </c>
      <c r="J22" s="4" t="s">
        <v>20</v>
      </c>
      <c r="M22" s="8"/>
      <c r="N22" s="8"/>
      <c r="R22" s="11">
        <v>1</v>
      </c>
      <c r="S22" s="11" t="str">
        <f>VLOOKUP(テーブル7[[#This Row],[用法No.]],テーブル1[],2,FALSE)</f>
        <v>A法</v>
      </c>
      <c r="T22" s="11">
        <v>2</v>
      </c>
      <c r="U22" s="18" t="str">
        <f>VLOOKUP(テーブル7[[#This Row],[体表面積No.]],テーブル2[],2,FALSE)</f>
        <v xml:space="preserve"> 1.31㎡ 以上1.64㎡ 未満</v>
      </c>
      <c r="V22" s="11">
        <v>2</v>
      </c>
      <c r="W22" s="18" t="str">
        <f>VLOOKUP(テーブル7[[#This Row],[腎機能No.]],テーブル3[],2,FALSE)</f>
        <v>75%用量に減量</v>
      </c>
      <c r="X22" s="3">
        <v>0</v>
      </c>
      <c r="Y22" s="3" t="str">
        <f>VLOOKUP(テーブル7[[#This Row],[1段階減量の用法No.]],テーブル4[],2,FALSE)</f>
        <v>－</v>
      </c>
      <c r="Z22" s="3">
        <v>0</v>
      </c>
      <c r="AA22" s="2" t="str">
        <f>VLOOKUP(テーブル7[[#This Row],[1段階減量の体表面積No.]],テーブル6[],2,FALSE)</f>
        <v>－</v>
      </c>
      <c r="AB22" s="8" t="str">
        <f t="shared" si="0"/>
        <v>12200</v>
      </c>
      <c r="AC22" s="14">
        <f>AC4*0.75</f>
        <v>900</v>
      </c>
      <c r="AD22" s="14">
        <f>AC22*2</f>
        <v>1800</v>
      </c>
      <c r="AE22" s="15" t="s">
        <v>112</v>
      </c>
      <c r="AF22" s="15" t="s">
        <v>145</v>
      </c>
    </row>
    <row r="23" spans="1:32" ht="27" customHeight="1">
      <c r="A23" s="10" t="s">
        <v>129</v>
      </c>
      <c r="B23" s="22">
        <f>COUNTIF(B3:B5,TRUE)</f>
        <v>0</v>
      </c>
      <c r="C23" s="217">
        <f>COUNTIF(B12:B13,TRUE)</f>
        <v>0</v>
      </c>
      <c r="D23" s="218"/>
      <c r="E23" s="22" t="str">
        <f>IF(AND(B23=1,C23&gt;=1),"ERROR","SAFE")</f>
        <v>SAFE</v>
      </c>
      <c r="I23" s="8">
        <v>16</v>
      </c>
      <c r="J23" s="4" t="s">
        <v>31</v>
      </c>
      <c r="M23" s="8"/>
      <c r="N23" s="8"/>
      <c r="R23" s="11">
        <v>1</v>
      </c>
      <c r="S23" s="11" t="str">
        <f>VLOOKUP(テーブル7[[#This Row],[用法No.]],テーブル1[],2,FALSE)</f>
        <v>A法</v>
      </c>
      <c r="T23" s="11">
        <v>3</v>
      </c>
      <c r="U23" s="18" t="str">
        <f>VLOOKUP(テーブル7[[#This Row],[体表面積No.]],テーブル2[],2,FALSE)</f>
        <v xml:space="preserve"> 1.64㎡以上</v>
      </c>
      <c r="V23" s="11">
        <v>2</v>
      </c>
      <c r="W23" s="18" t="str">
        <f>VLOOKUP(テーブル7[[#This Row],[腎機能No.]],テーブル3[],2,FALSE)</f>
        <v>75%用量に減量</v>
      </c>
      <c r="X23" s="3">
        <v>0</v>
      </c>
      <c r="Y23" s="3" t="str">
        <f>VLOOKUP(テーブル7[[#This Row],[1段階減量の用法No.]],テーブル4[],2,FALSE)</f>
        <v>－</v>
      </c>
      <c r="Z23" s="3">
        <v>0</v>
      </c>
      <c r="AA23" s="2" t="str">
        <f>VLOOKUP(テーブル7[[#This Row],[1段階減量の体表面積No.]],テーブル6[],2,FALSE)</f>
        <v>－</v>
      </c>
      <c r="AB23" s="8" t="str">
        <f t="shared" si="0"/>
        <v>13200</v>
      </c>
      <c r="AC23" s="14">
        <f>AC5*0.75</f>
        <v>1125</v>
      </c>
      <c r="AD23" s="14">
        <f>AC23*2</f>
        <v>2250</v>
      </c>
      <c r="AE23" s="15" t="s">
        <v>143</v>
      </c>
      <c r="AF23" s="15" t="s">
        <v>144</v>
      </c>
    </row>
    <row r="24" spans="1:32" ht="27" customHeight="1">
      <c r="A24" s="6" t="s">
        <v>133</v>
      </c>
      <c r="B24" s="23">
        <f>COUNTIF(B2:B5,TRUE)</f>
        <v>0</v>
      </c>
      <c r="C24" s="212">
        <f>COUNTIF(B8:B9,TRUE)</f>
        <v>0</v>
      </c>
      <c r="D24" s="213"/>
      <c r="E24" s="23" t="str">
        <f>IF(AND(B24=0,C24&gt;=1),"ERROR","SAFE")</f>
        <v>SAFE</v>
      </c>
      <c r="I24" s="8">
        <v>17</v>
      </c>
      <c r="J24" s="4" t="s">
        <v>32</v>
      </c>
      <c r="M24" s="8"/>
      <c r="N24" s="8"/>
      <c r="R24" s="11">
        <v>0</v>
      </c>
      <c r="S24" s="11" t="str">
        <f>VLOOKUP(テーブル7[[#This Row],[用法No.]],テーブル1[],2,FALSE)</f>
        <v>－</v>
      </c>
      <c r="T24" s="11">
        <v>0</v>
      </c>
      <c r="U24" s="18" t="str">
        <f>VLOOKUP(テーブル7[[#This Row],[体表面積No.]],テーブル2[],2,FALSE)</f>
        <v>－</v>
      </c>
      <c r="V24" s="11">
        <v>3</v>
      </c>
      <c r="W24" s="18" t="str">
        <f>VLOOKUP(テーブル7[[#This Row],[腎機能No.]],テーブル3[],2,FALSE)</f>
        <v>表3を参考に減量（減量段階1）</v>
      </c>
      <c r="X24" s="3">
        <v>1</v>
      </c>
      <c r="Y24" s="3" t="str">
        <f>VLOOKUP(テーブル7[[#This Row],[1段階減量の用法No.]],テーブル4[],2,FALSE)</f>
        <v>B法</v>
      </c>
      <c r="Z24" s="3">
        <v>1</v>
      </c>
      <c r="AA24" s="2" t="str">
        <f>VLOOKUP(テーブル7[[#This Row],[1段階減量の体表面積No.]],テーブル6[],2,FALSE)</f>
        <v xml:space="preserve"> 1.13㎡未満</v>
      </c>
      <c r="AB24" s="8" t="str">
        <f t="shared" si="0"/>
        <v>00311</v>
      </c>
      <c r="AC24" s="14">
        <v>900</v>
      </c>
      <c r="AD24" s="14">
        <f t="shared" ref="AD24:AD30" si="1">AC24*2</f>
        <v>1800</v>
      </c>
      <c r="AE24" s="15" t="s">
        <v>112</v>
      </c>
      <c r="AF24" s="15" t="s">
        <v>148</v>
      </c>
    </row>
    <row r="25" spans="1:32" ht="27" customHeight="1">
      <c r="A25" s="10" t="s">
        <v>134</v>
      </c>
      <c r="B25" s="22">
        <f>COUNTIF(B2:B5,TRUE)</f>
        <v>0</v>
      </c>
      <c r="C25" s="217">
        <f>COUNTIF(B12:B13,TRUE)</f>
        <v>0</v>
      </c>
      <c r="D25" s="218"/>
      <c r="E25" s="22" t="str">
        <f>IF(AND(B25=0,C25&gt;=1),"ERROR","SAFE")</f>
        <v>SAFE</v>
      </c>
      <c r="I25" s="8">
        <v>18</v>
      </c>
      <c r="J25" s="4" t="s">
        <v>33</v>
      </c>
      <c r="M25" s="8"/>
      <c r="N25" s="8"/>
      <c r="R25" s="11">
        <v>0</v>
      </c>
      <c r="S25" s="11" t="str">
        <f>VLOOKUP(テーブル7[[#This Row],[用法No.]],テーブル1[],2,FALSE)</f>
        <v>－</v>
      </c>
      <c r="T25" s="11">
        <v>0</v>
      </c>
      <c r="U25" s="18" t="str">
        <f>VLOOKUP(テーブル7[[#This Row],[体表面積No.]],テーブル2[],2,FALSE)</f>
        <v>－</v>
      </c>
      <c r="V25" s="11">
        <v>3</v>
      </c>
      <c r="W25" s="18" t="str">
        <f>VLOOKUP(テーブル7[[#This Row],[腎機能No.]],テーブル3[],2,FALSE)</f>
        <v>表3を参考に減量（減量段階1）</v>
      </c>
      <c r="X25" s="3">
        <v>1</v>
      </c>
      <c r="Y25" s="3" t="str">
        <f>VLOOKUP(テーブル7[[#This Row],[1段階減量の用法No.]],テーブル4[],2,FALSE)</f>
        <v>B法</v>
      </c>
      <c r="Z25" s="3">
        <v>2</v>
      </c>
      <c r="AA25" s="2" t="str">
        <f>VLOOKUP(テーブル7[[#This Row],[1段階減量の体表面積No.]],テーブル6[],2,FALSE)</f>
        <v xml:space="preserve"> 1.13㎡ 以上1.45㎡ 未満</v>
      </c>
      <c r="AB25" s="8" t="str">
        <f t="shared" si="0"/>
        <v>00312</v>
      </c>
      <c r="AC25" s="14">
        <v>1200</v>
      </c>
      <c r="AD25" s="14">
        <f t="shared" si="1"/>
        <v>2400</v>
      </c>
      <c r="AE25" s="15" t="s">
        <v>112</v>
      </c>
      <c r="AF25" s="15" t="s">
        <v>149</v>
      </c>
    </row>
    <row r="26" spans="1:32" ht="27" customHeight="1">
      <c r="A26" s="6" t="s">
        <v>135</v>
      </c>
      <c r="B26" s="23">
        <f>COUNTIF(B9,TRUE)</f>
        <v>0</v>
      </c>
      <c r="C26" s="212">
        <f>COUNTIF(B12:B13,TRUE)</f>
        <v>0</v>
      </c>
      <c r="D26" s="213"/>
      <c r="E26" s="23" t="str">
        <f>IF(AND(B26=1,C26&gt;=1),"ERROR","SAFE")</f>
        <v>SAFE</v>
      </c>
      <c r="R26" s="11">
        <v>0</v>
      </c>
      <c r="S26" s="11" t="str">
        <f>VLOOKUP(テーブル7[[#This Row],[用法No.]],テーブル1[],2,FALSE)</f>
        <v>－</v>
      </c>
      <c r="T26" s="11">
        <v>0</v>
      </c>
      <c r="U26" s="18" t="str">
        <f>VLOOKUP(テーブル7[[#This Row],[体表面積No.]],テーブル2[],2,FALSE)</f>
        <v>－</v>
      </c>
      <c r="V26" s="11">
        <v>3</v>
      </c>
      <c r="W26" s="18" t="str">
        <f>VLOOKUP(テーブル7[[#This Row],[腎機能No.]],テーブル3[],2,FALSE)</f>
        <v>表3を参考に減量（減量段階1）</v>
      </c>
      <c r="X26" s="3">
        <v>1</v>
      </c>
      <c r="Y26" s="3" t="str">
        <f>VLOOKUP(テーブル7[[#This Row],[1段階減量の用法No.]],テーブル4[],2,FALSE)</f>
        <v>B法</v>
      </c>
      <c r="Z26" s="3">
        <v>3</v>
      </c>
      <c r="AA26" s="2" t="str">
        <f>VLOOKUP(テーブル7[[#This Row],[1段階減量の体表面積No.]],テーブル6[],2,FALSE)</f>
        <v xml:space="preserve"> 1.45㎡ 以上1.77㎡ 未満</v>
      </c>
      <c r="AB26" s="8" t="str">
        <f t="shared" si="0"/>
        <v>00313</v>
      </c>
      <c r="AC26" s="14">
        <v>1500</v>
      </c>
      <c r="AD26" s="14">
        <f t="shared" si="1"/>
        <v>3000</v>
      </c>
      <c r="AE26" s="15" t="s">
        <v>112</v>
      </c>
      <c r="AF26" s="15" t="s">
        <v>150</v>
      </c>
    </row>
    <row r="27" spans="1:32" ht="27" customHeight="1">
      <c r="B27" s="214" t="s">
        <v>132</v>
      </c>
      <c r="C27" s="215"/>
      <c r="D27" s="216"/>
      <c r="E27" s="23" t="str">
        <f>IF(COUNTIF(E17:E26,"ERROR")&gt;=1,"ERROR","SAFE")</f>
        <v>SAFE</v>
      </c>
      <c r="R27" s="11">
        <v>0</v>
      </c>
      <c r="S27" s="11" t="str">
        <f>VLOOKUP(テーブル7[[#This Row],[用法No.]],テーブル1[],2,FALSE)</f>
        <v>－</v>
      </c>
      <c r="T27" s="11">
        <v>0</v>
      </c>
      <c r="U27" s="18" t="str">
        <f>VLOOKUP(テーブル7[[#This Row],[体表面積No.]],テーブル2[],2,FALSE)</f>
        <v>－</v>
      </c>
      <c r="V27" s="11">
        <v>3</v>
      </c>
      <c r="W27" s="18" t="str">
        <f>VLOOKUP(テーブル7[[#This Row],[腎機能No.]],テーブル3[],2,FALSE)</f>
        <v>表3を参考に減量（減量段階1）</v>
      </c>
      <c r="X27" s="3">
        <v>1</v>
      </c>
      <c r="Y27" s="3" t="str">
        <f>VLOOKUP(テーブル7[[#This Row],[1段階減量の用法No.]],テーブル4[],2,FALSE)</f>
        <v>B法</v>
      </c>
      <c r="Z27" s="3">
        <v>4</v>
      </c>
      <c r="AA27" s="2" t="str">
        <f>VLOOKUP(テーブル7[[#This Row],[1段階減量の体表面積No.]],テーブル6[],2,FALSE)</f>
        <v xml:space="preserve"> 1.77㎡以上</v>
      </c>
      <c r="AB27" s="8" t="str">
        <f t="shared" si="0"/>
        <v>00314</v>
      </c>
      <c r="AC27" s="14">
        <v>1800</v>
      </c>
      <c r="AD27" s="14">
        <f t="shared" si="1"/>
        <v>3600</v>
      </c>
      <c r="AE27" s="15" t="s">
        <v>112</v>
      </c>
      <c r="AF27" s="15" t="s">
        <v>151</v>
      </c>
    </row>
    <row r="28" spans="1:32" ht="27" customHeight="1">
      <c r="R28" s="11">
        <v>0</v>
      </c>
      <c r="S28" s="11" t="str">
        <f>VLOOKUP(テーブル7[[#This Row],[用法No.]],テーブル1[],2,FALSE)</f>
        <v>－</v>
      </c>
      <c r="T28" s="11">
        <v>0</v>
      </c>
      <c r="U28" s="18" t="str">
        <f>VLOOKUP(テーブル7[[#This Row],[体表面積No.]],テーブル2[],2,FALSE)</f>
        <v>－</v>
      </c>
      <c r="V28" s="11">
        <v>3</v>
      </c>
      <c r="W28" s="18" t="str">
        <f>VLOOKUP(テーブル7[[#This Row],[腎機能No.]],テーブル3[],2,FALSE)</f>
        <v>表3を参考に減量（減量段階1）</v>
      </c>
      <c r="X28" s="3">
        <v>5</v>
      </c>
      <c r="Y28" s="3" t="str">
        <f>VLOOKUP(テーブル7[[#This Row],[1段階減量の用法No.]],テーブル4[],2,FALSE)</f>
        <v>C法</v>
      </c>
      <c r="Z28" s="3">
        <v>5</v>
      </c>
      <c r="AA28" s="2" t="str">
        <f>VLOOKUP(テーブル7[[#This Row],[1段階減量の体表面積No.]],テーブル6[],2,FALSE)</f>
        <v xml:space="preserve"> 1.41㎡未満</v>
      </c>
      <c r="AB28" s="8" t="str">
        <f t="shared" si="0"/>
        <v>00355</v>
      </c>
      <c r="AC28" s="14">
        <v>900</v>
      </c>
      <c r="AD28" s="14">
        <f t="shared" si="1"/>
        <v>1800</v>
      </c>
      <c r="AE28" s="15" t="s">
        <v>112</v>
      </c>
      <c r="AF28" s="15" t="s">
        <v>152</v>
      </c>
    </row>
    <row r="29" spans="1:32" ht="27" customHeight="1">
      <c r="R29" s="11">
        <v>0</v>
      </c>
      <c r="S29" s="11" t="str">
        <f>VLOOKUP(テーブル7[[#This Row],[用法No.]],テーブル1[],2,FALSE)</f>
        <v>－</v>
      </c>
      <c r="T29" s="11">
        <v>0</v>
      </c>
      <c r="U29" s="18" t="str">
        <f>VLOOKUP(テーブル7[[#This Row],[体表面積No.]],テーブル2[],2,FALSE)</f>
        <v>－</v>
      </c>
      <c r="V29" s="11">
        <v>3</v>
      </c>
      <c r="W29" s="18" t="str">
        <f>VLOOKUP(テーブル7[[#This Row],[腎機能No.]],テーブル3[],2,FALSE)</f>
        <v>表3を参考に減量（減量段階1）</v>
      </c>
      <c r="X29" s="3">
        <v>5</v>
      </c>
      <c r="Y29" s="3" t="str">
        <f>VLOOKUP(テーブル7[[#This Row],[1段階減量の用法No.]],テーブル4[],2,FALSE)</f>
        <v>C法</v>
      </c>
      <c r="Z29" s="3">
        <v>6</v>
      </c>
      <c r="AA29" s="2" t="str">
        <f>VLOOKUP(テーブル7[[#This Row],[1段階減量の体表面積No.]],テーブル6[],2,FALSE)</f>
        <v xml:space="preserve"> 1.41㎡ 以上1.81㎡ 未満</v>
      </c>
      <c r="AB29" s="8" t="str">
        <f t="shared" si="0"/>
        <v>00356</v>
      </c>
      <c r="AC29" s="14">
        <v>1200</v>
      </c>
      <c r="AD29" s="14">
        <f t="shared" si="1"/>
        <v>2400</v>
      </c>
      <c r="AE29" s="15" t="s">
        <v>112</v>
      </c>
      <c r="AF29" s="15" t="s">
        <v>153</v>
      </c>
    </row>
    <row r="30" spans="1:32" ht="27" customHeight="1">
      <c r="R30" s="11">
        <v>0</v>
      </c>
      <c r="S30" s="11" t="str">
        <f>VLOOKUP(テーブル7[[#This Row],[用法No.]],テーブル1[],2,FALSE)</f>
        <v>－</v>
      </c>
      <c r="T30" s="11">
        <v>0</v>
      </c>
      <c r="U30" s="18" t="str">
        <f>VLOOKUP(テーブル7[[#This Row],[体表面積No.]],テーブル2[],2,FALSE)</f>
        <v>－</v>
      </c>
      <c r="V30" s="11">
        <v>3</v>
      </c>
      <c r="W30" s="18" t="str">
        <f>VLOOKUP(テーブル7[[#This Row],[腎機能No.]],テーブル3[],2,FALSE)</f>
        <v>表3を参考に減量（減量段階1）</v>
      </c>
      <c r="X30" s="3">
        <v>5</v>
      </c>
      <c r="Y30" s="3" t="str">
        <f>VLOOKUP(テーブル7[[#This Row],[1段階減量の用法No.]],テーブル4[],2,FALSE)</f>
        <v>C法</v>
      </c>
      <c r="Z30" s="3">
        <v>7</v>
      </c>
      <c r="AA30" s="2" t="str">
        <f>VLOOKUP(テーブル7[[#This Row],[1段階減量の体表面積No.]],テーブル6[],2,FALSE)</f>
        <v xml:space="preserve"> 1.81㎡以上</v>
      </c>
      <c r="AB30" s="8" t="str">
        <f t="shared" si="0"/>
        <v>00357</v>
      </c>
      <c r="AC30" s="14">
        <v>1500</v>
      </c>
      <c r="AD30" s="14">
        <f t="shared" si="1"/>
        <v>3000</v>
      </c>
      <c r="AE30" s="15" t="s">
        <v>112</v>
      </c>
      <c r="AF30" s="15" t="s">
        <v>154</v>
      </c>
    </row>
    <row r="31" spans="1:32" ht="27" customHeight="1">
      <c r="R31" s="11">
        <v>12</v>
      </c>
      <c r="S31" s="11" t="str">
        <f>VLOOKUP(テーブル7[[#This Row],[用法No.]],テーブル1[],2,FALSE)</f>
        <v>D法</v>
      </c>
      <c r="T31" s="11">
        <v>12</v>
      </c>
      <c r="U31" s="18" t="str">
        <f>VLOOKUP(テーブル7[[#This Row],[体表面積No.]],テーブル2[],2,FALSE)</f>
        <v xml:space="preserve"> 1.31㎡未満</v>
      </c>
      <c r="V31" s="11">
        <v>2</v>
      </c>
      <c r="W31" s="18" t="str">
        <f>VLOOKUP(テーブル7[[#This Row],[腎機能No.]],テーブル3[],2,FALSE)</f>
        <v>75%用量に減量</v>
      </c>
      <c r="X31" s="3">
        <v>5</v>
      </c>
      <c r="Y31" s="3" t="str">
        <f>VLOOKUP(テーブル7[[#This Row],[1段階減量の用法No.]],テーブル4[],2,FALSE)</f>
        <v>C法</v>
      </c>
      <c r="Z31" s="3">
        <v>0</v>
      </c>
      <c r="AA31" s="2" t="str">
        <f>VLOOKUP(テーブル7[[#This Row],[1段階減量の体表面積No.]],テーブル6[],2,FALSE)</f>
        <v>－</v>
      </c>
      <c r="AB31" s="8" t="str">
        <f t="shared" si="0"/>
        <v>1212250</v>
      </c>
      <c r="AC31" s="14">
        <v>675</v>
      </c>
      <c r="AD31" s="14">
        <v>1350</v>
      </c>
      <c r="AE31" s="15" t="s">
        <v>145</v>
      </c>
      <c r="AF31" s="15" t="s">
        <v>144</v>
      </c>
    </row>
    <row r="32" spans="1:32" ht="27" customHeight="1">
      <c r="R32" s="11">
        <v>12</v>
      </c>
      <c r="S32" s="11" t="str">
        <f>VLOOKUP(テーブル7[[#This Row],[用法No.]],テーブル1[],2,FALSE)</f>
        <v>D法</v>
      </c>
      <c r="T32" s="11">
        <v>13</v>
      </c>
      <c r="U32" s="18" t="str">
        <f>VLOOKUP(テーブル7[[#This Row],[体表面積No.]],テーブル2[],2,FALSE)</f>
        <v xml:space="preserve"> 1.31㎡ 以上1.64㎡ 未満</v>
      </c>
      <c r="V32" s="11">
        <v>2</v>
      </c>
      <c r="W32" s="18" t="str">
        <f>VLOOKUP(テーブル7[[#This Row],[腎機能No.]],テーブル3[],2,FALSE)</f>
        <v>75%用量に減量</v>
      </c>
      <c r="X32" s="3">
        <v>0</v>
      </c>
      <c r="Y32" s="3" t="str">
        <f>VLOOKUP(テーブル7[[#This Row],[1段階減量の用法No.]],テーブル4[],2,FALSE)</f>
        <v>－</v>
      </c>
      <c r="Z32" s="3">
        <v>0</v>
      </c>
      <c r="AA32" s="2" t="str">
        <f>VLOOKUP(テーブル7[[#This Row],[1段階減量の体表面積No.]],テーブル6[],2,FALSE)</f>
        <v>－</v>
      </c>
      <c r="AB32" s="8" t="str">
        <f t="shared" si="0"/>
        <v>1213200</v>
      </c>
      <c r="AC32" s="14">
        <v>900</v>
      </c>
      <c r="AD32" s="14">
        <v>1800</v>
      </c>
      <c r="AE32" s="15" t="s">
        <v>112</v>
      </c>
      <c r="AF32" s="15" t="s">
        <v>145</v>
      </c>
    </row>
    <row r="33" spans="7:32" ht="27" customHeight="1">
      <c r="R33" s="11">
        <v>12</v>
      </c>
      <c r="S33" s="11" t="str">
        <f>VLOOKUP(テーブル7[[#This Row],[用法No.]],テーブル1[],2,FALSE)</f>
        <v>D法</v>
      </c>
      <c r="T33" s="11">
        <v>14</v>
      </c>
      <c r="U33" s="18" t="str">
        <f>VLOOKUP(テーブル7[[#This Row],[体表面積No.]],テーブル2[],2,FALSE)</f>
        <v xml:space="preserve"> 1.64㎡以上</v>
      </c>
      <c r="V33" s="11">
        <v>2</v>
      </c>
      <c r="W33" s="18" t="str">
        <f>VLOOKUP(テーブル7[[#This Row],[腎機能No.]],テーブル3[],2,FALSE)</f>
        <v>75%用量に減量</v>
      </c>
      <c r="X33" s="3">
        <v>0</v>
      </c>
      <c r="Y33" s="3" t="str">
        <f>VLOOKUP(テーブル7[[#This Row],[1段階減量の用法No.]],テーブル4[],2,FALSE)</f>
        <v>－</v>
      </c>
      <c r="Z33" s="3">
        <v>0</v>
      </c>
      <c r="AA33" s="2" t="str">
        <f>VLOOKUP(テーブル7[[#This Row],[1段階減量の体表面積No.]],テーブル6[],2,FALSE)</f>
        <v>－</v>
      </c>
      <c r="AB33" s="8" t="str">
        <f t="shared" si="0"/>
        <v>1214200</v>
      </c>
      <c r="AC33" s="14">
        <v>1125</v>
      </c>
      <c r="AD33" s="14">
        <v>2250</v>
      </c>
      <c r="AE33" s="15" t="s">
        <v>145</v>
      </c>
      <c r="AF33" s="15" t="s">
        <v>144</v>
      </c>
    </row>
    <row r="34" spans="7:32" ht="27" customHeight="1">
      <c r="R34" s="11">
        <v>15</v>
      </c>
      <c r="S34" s="11" t="str">
        <f>VLOOKUP(テーブル7[[#This Row],[用法No.]],テーブル1[],2,FALSE)</f>
        <v>E法</v>
      </c>
      <c r="T34" s="11">
        <v>15</v>
      </c>
      <c r="U34" s="18" t="str">
        <f>VLOOKUP(テーブル7[[#This Row],[体表面積No.]],テーブル2[],2,FALSE)</f>
        <v xml:space="preserve"> 1.31㎡未満</v>
      </c>
      <c r="V34" s="11">
        <v>2</v>
      </c>
      <c r="W34" s="18" t="str">
        <f>VLOOKUP(テーブル7[[#This Row],[腎機能No.]],テーブル3[],2,FALSE)</f>
        <v>75%用量に減量</v>
      </c>
      <c r="X34" s="3">
        <v>0</v>
      </c>
      <c r="Y34" s="3" t="str">
        <f>VLOOKUP(テーブル7[[#This Row],[1段階減量の用法No.]],テーブル4[],2,FALSE)</f>
        <v>－</v>
      </c>
      <c r="Z34" s="3">
        <v>0</v>
      </c>
      <c r="AA34" s="2" t="str">
        <f>VLOOKUP(テーブル7[[#This Row],[1段階減量の体表面積No.]],テーブル6[],2,FALSE)</f>
        <v>－</v>
      </c>
      <c r="AB34" s="8" t="str">
        <f t="shared" si="0"/>
        <v>1515200</v>
      </c>
      <c r="AC34" s="14">
        <v>675</v>
      </c>
      <c r="AD34" s="14">
        <v>1350</v>
      </c>
      <c r="AE34" s="15" t="s">
        <v>145</v>
      </c>
      <c r="AF34" s="15" t="s">
        <v>144</v>
      </c>
    </row>
    <row r="35" spans="7:32" ht="27" customHeight="1">
      <c r="R35" s="11">
        <v>15</v>
      </c>
      <c r="S35" s="11" t="str">
        <f>VLOOKUP(テーブル7[[#This Row],[用法No.]],テーブル1[],2,FALSE)</f>
        <v>E法</v>
      </c>
      <c r="T35" s="11">
        <v>16</v>
      </c>
      <c r="U35" s="18" t="str">
        <f>VLOOKUP(テーブル7[[#This Row],[体表面積No.]],テーブル2[],2,FALSE)</f>
        <v xml:space="preserve"> 1.31㎡ 以上1.69㎡ 未満</v>
      </c>
      <c r="V35" s="11">
        <v>2</v>
      </c>
      <c r="W35" s="18" t="str">
        <f>VLOOKUP(テーブル7[[#This Row],[腎機能No.]],テーブル3[],2,FALSE)</f>
        <v>75%用量に減量</v>
      </c>
      <c r="X35" s="3">
        <v>0</v>
      </c>
      <c r="Y35" s="3" t="str">
        <f>VLOOKUP(テーブル7[[#This Row],[1段階減量の用法No.]],テーブル4[],2,FALSE)</f>
        <v>－</v>
      </c>
      <c r="Z35" s="3">
        <v>0</v>
      </c>
      <c r="AA35" s="2" t="str">
        <f>VLOOKUP(テーブル7[[#This Row],[1段階減量の体表面積No.]],テーブル6[],2,FALSE)</f>
        <v>－</v>
      </c>
      <c r="AB35" s="8" t="str">
        <f t="shared" si="0"/>
        <v>1516200</v>
      </c>
      <c r="AC35" s="14">
        <v>900</v>
      </c>
      <c r="AD35" s="14">
        <v>1800</v>
      </c>
      <c r="AE35" s="15" t="s">
        <v>146</v>
      </c>
      <c r="AF35" s="15" t="s">
        <v>145</v>
      </c>
    </row>
    <row r="36" spans="7:32" ht="27" customHeight="1">
      <c r="R36" s="11">
        <v>15</v>
      </c>
      <c r="S36" s="11" t="str">
        <f>VLOOKUP(テーブル7[[#This Row],[用法No.]],テーブル1[],2,FALSE)</f>
        <v>E法</v>
      </c>
      <c r="T36" s="11">
        <v>17</v>
      </c>
      <c r="U36" s="18" t="str">
        <f>VLOOKUP(テーブル7[[#This Row],[体表面積No.]],テーブル2[],2,FALSE)</f>
        <v xml:space="preserve"> 1.69㎡ 以上2.07㎡ 未満</v>
      </c>
      <c r="V36" s="11">
        <v>2</v>
      </c>
      <c r="W36" s="18" t="str">
        <f>VLOOKUP(テーブル7[[#This Row],[腎機能No.]],テーブル3[],2,FALSE)</f>
        <v>75%用量に減量</v>
      </c>
      <c r="X36" s="3">
        <v>0</v>
      </c>
      <c r="Y36" s="3" t="str">
        <f>VLOOKUP(テーブル7[[#This Row],[1段階減量の用法No.]],テーブル4[],2,FALSE)</f>
        <v>－</v>
      </c>
      <c r="Z36" s="3">
        <v>0</v>
      </c>
      <c r="AA36" s="2" t="str">
        <f>VLOOKUP(テーブル7[[#This Row],[1段階減量の体表面積No.]],テーブル6[],2,FALSE)</f>
        <v>－</v>
      </c>
      <c r="AB36" s="8" t="str">
        <f t="shared" si="0"/>
        <v>1517200</v>
      </c>
      <c r="AC36" s="14">
        <v>1125</v>
      </c>
      <c r="AD36" s="14">
        <v>2250</v>
      </c>
      <c r="AE36" s="15" t="s">
        <v>145</v>
      </c>
      <c r="AF36" s="15" t="s">
        <v>144</v>
      </c>
    </row>
    <row r="37" spans="7:32" ht="27" customHeight="1">
      <c r="R37" s="11">
        <v>15</v>
      </c>
      <c r="S37" s="11" t="str">
        <f>VLOOKUP(テーブル7[[#This Row],[用法No.]],テーブル1[],2,FALSE)</f>
        <v>E法</v>
      </c>
      <c r="T37" s="11">
        <v>18</v>
      </c>
      <c r="U37" s="18" t="str">
        <f>VLOOKUP(テーブル7[[#This Row],[体表面積No.]],テーブル2[],2,FALSE)</f>
        <v xml:space="preserve"> 2.07㎡以上</v>
      </c>
      <c r="V37" s="11">
        <v>2</v>
      </c>
      <c r="W37" s="18" t="str">
        <f>VLOOKUP(テーブル7[[#This Row],[腎機能No.]],テーブル3[],2,FALSE)</f>
        <v>75%用量に減量</v>
      </c>
      <c r="X37" s="3">
        <v>0</v>
      </c>
      <c r="Y37" s="3" t="str">
        <f>VLOOKUP(テーブル7[[#This Row],[1段階減量の用法No.]],テーブル4[],2,FALSE)</f>
        <v>－</v>
      </c>
      <c r="Z37" s="3">
        <v>0</v>
      </c>
      <c r="AA37" s="2" t="str">
        <f>VLOOKUP(テーブル7[[#This Row],[1段階減量の体表面積No.]],テーブル6[],2,FALSE)</f>
        <v>－</v>
      </c>
      <c r="AB37" s="8" t="str">
        <f t="shared" si="0"/>
        <v>1518200</v>
      </c>
      <c r="AC37" s="14">
        <v>1350</v>
      </c>
      <c r="AD37" s="14">
        <v>2700</v>
      </c>
      <c r="AE37" s="15" t="s">
        <v>145</v>
      </c>
      <c r="AF37" s="15" t="s">
        <v>144</v>
      </c>
    </row>
    <row r="38" spans="7:32" ht="27" customHeight="1">
      <c r="R38" s="11">
        <v>0</v>
      </c>
      <c r="S38" s="11" t="str">
        <f>VLOOKUP(テーブル7[[#This Row],[用法No.]],テーブル1[],2,FALSE)</f>
        <v>－</v>
      </c>
      <c r="T38" s="11">
        <v>0</v>
      </c>
      <c r="U38" s="18" t="str">
        <f>VLOOKUP(テーブル7[[#This Row],[体表面積No.]],テーブル2[],2,FALSE)</f>
        <v>－</v>
      </c>
      <c r="V38" s="11">
        <v>4</v>
      </c>
      <c r="W38" s="18" t="str">
        <f>VLOOKUP(テーブル7[[#This Row],[腎機能No.]],テーブル3[],2,FALSE)</f>
        <v>禁忌</v>
      </c>
      <c r="X38" s="3">
        <v>0</v>
      </c>
      <c r="Y38" s="3" t="str">
        <f>VLOOKUP(テーブル7[[#This Row],[1段階減量の用法No.]],テーブル4[],2,FALSE)</f>
        <v>－</v>
      </c>
      <c r="Z38" s="3">
        <v>0</v>
      </c>
      <c r="AA38" s="2" t="str">
        <f>VLOOKUP(テーブル7[[#This Row],[1段階減量の体表面積No.]],テーブル6[],2,FALSE)</f>
        <v>－</v>
      </c>
      <c r="AB38" s="8" t="str">
        <f t="shared" si="0"/>
        <v>00400</v>
      </c>
      <c r="AC38" s="14" t="s">
        <v>8</v>
      </c>
      <c r="AD38" s="14" t="s">
        <v>8</v>
      </c>
      <c r="AE38" s="15" t="s">
        <v>112</v>
      </c>
      <c r="AF38" s="15" t="s">
        <v>112</v>
      </c>
    </row>
    <row r="46" spans="7:32" ht="27" customHeight="1">
      <c r="G46" s="11"/>
      <c r="H46" s="11"/>
      <c r="I46" s="8"/>
      <c r="J46" s="8"/>
      <c r="K46" s="8"/>
      <c r="L46" s="8"/>
      <c r="M46" s="8"/>
      <c r="N46" s="14"/>
      <c r="O46" s="14"/>
    </row>
    <row r="47" spans="7:32" ht="27" customHeight="1">
      <c r="N47" s="14"/>
      <c r="O47" s="14"/>
    </row>
    <row r="48" spans="7:32" ht="27" customHeight="1">
      <c r="N48" s="14"/>
      <c r="O48" s="14"/>
    </row>
    <row r="49" spans="14:15" ht="27" customHeight="1">
      <c r="N49" s="14"/>
      <c r="O49" s="14"/>
    </row>
    <row r="50" spans="14:15" ht="27" customHeight="1">
      <c r="N50" s="14"/>
      <c r="O50" s="14"/>
    </row>
    <row r="51" spans="14:15" ht="27" customHeight="1">
      <c r="N51" s="14"/>
      <c r="O51" s="14"/>
    </row>
    <row r="52" spans="14:15" ht="27" customHeight="1">
      <c r="N52" s="14"/>
      <c r="O52" s="14"/>
    </row>
    <row r="53" spans="14:15" ht="27" customHeight="1">
      <c r="N53" s="14"/>
      <c r="O53" s="14"/>
    </row>
    <row r="54" spans="14:15" ht="27" customHeight="1">
      <c r="N54" s="14"/>
      <c r="O54" s="14"/>
    </row>
    <row r="55" spans="14:15" ht="27" customHeight="1">
      <c r="N55" s="14"/>
      <c r="O55" s="14"/>
    </row>
    <row r="56" spans="14:15" ht="27" customHeight="1">
      <c r="N56" s="14"/>
      <c r="O56" s="14"/>
    </row>
    <row r="57" spans="14:15" ht="27" customHeight="1">
      <c r="N57" s="14"/>
      <c r="O57" s="14"/>
    </row>
    <row r="58" spans="14:15" ht="27" customHeight="1">
      <c r="N58" s="14"/>
      <c r="O58" s="14"/>
    </row>
    <row r="59" spans="14:15" ht="27" customHeight="1">
      <c r="N59" s="14"/>
      <c r="O59" s="14"/>
    </row>
    <row r="60" spans="14:15" ht="27" customHeight="1">
      <c r="N60" s="14"/>
      <c r="O60" s="14"/>
    </row>
    <row r="61" spans="14:15" ht="27" customHeight="1">
      <c r="N61" s="14"/>
      <c r="O61" s="14"/>
    </row>
    <row r="62" spans="14:15" ht="27" customHeight="1">
      <c r="N62" s="14"/>
      <c r="O62" s="14"/>
    </row>
    <row r="63" spans="14:15" ht="27" customHeight="1">
      <c r="N63" s="14"/>
      <c r="O63" s="14"/>
    </row>
    <row r="64" spans="14:15" ht="27" customHeight="1">
      <c r="N64" s="14"/>
      <c r="O64" s="14"/>
    </row>
    <row r="65" spans="14:15" ht="27" customHeight="1">
      <c r="N65" s="14"/>
      <c r="O65" s="14"/>
    </row>
    <row r="66" spans="14:15" ht="27" customHeight="1">
      <c r="N66" s="14"/>
      <c r="O66" s="14"/>
    </row>
    <row r="67" spans="14:15" ht="27" customHeight="1">
      <c r="N67" s="14"/>
      <c r="O67" s="14"/>
    </row>
    <row r="68" spans="14:15" ht="27" customHeight="1">
      <c r="N68" s="14"/>
      <c r="O68" s="14"/>
    </row>
    <row r="69" spans="14:15" ht="27" customHeight="1">
      <c r="N69" s="14"/>
      <c r="O69" s="14"/>
    </row>
    <row r="70" spans="14:15" ht="27" customHeight="1">
      <c r="N70" s="14"/>
      <c r="O70" s="14"/>
    </row>
    <row r="71" spans="14:15" ht="27" customHeight="1">
      <c r="N71" s="14"/>
      <c r="O71" s="14"/>
    </row>
    <row r="72" spans="14:15" ht="27" customHeight="1">
      <c r="N72" s="14"/>
      <c r="O72" s="14"/>
    </row>
    <row r="73" spans="14:15" ht="27" customHeight="1">
      <c r="N73" s="14"/>
      <c r="O73" s="14"/>
    </row>
    <row r="74" spans="14:15" ht="27" customHeight="1">
      <c r="N74" s="14"/>
      <c r="O74" s="14"/>
    </row>
    <row r="75" spans="14:15" ht="27" customHeight="1">
      <c r="N75" s="14"/>
      <c r="O75" s="14"/>
    </row>
    <row r="76" spans="14:15" ht="27" customHeight="1">
      <c r="N76" s="14"/>
      <c r="O76" s="14"/>
    </row>
    <row r="77" spans="14:15" ht="27" customHeight="1">
      <c r="N77" s="14"/>
      <c r="O77" s="14"/>
    </row>
    <row r="78" spans="14:15" ht="27" customHeight="1">
      <c r="N78" s="14"/>
      <c r="O78" s="14"/>
    </row>
    <row r="79" spans="14:15" ht="27" customHeight="1">
      <c r="N79" s="14"/>
      <c r="O79" s="14"/>
    </row>
    <row r="80" spans="14:15" ht="27" customHeight="1">
      <c r="N80" s="14"/>
      <c r="O80" s="14"/>
    </row>
    <row r="81" spans="14:15" ht="27" customHeight="1">
      <c r="N81" s="14"/>
      <c r="O81" s="14"/>
    </row>
    <row r="82" spans="14:15" ht="27" customHeight="1">
      <c r="N82" s="14"/>
      <c r="O82" s="14"/>
    </row>
    <row r="83" spans="14:15" ht="27" customHeight="1">
      <c r="N83" s="14"/>
      <c r="O83" s="14"/>
    </row>
    <row r="84" spans="14:15" ht="27" customHeight="1">
      <c r="N84" s="14"/>
      <c r="O84" s="14"/>
    </row>
    <row r="85" spans="14:15" ht="27" customHeight="1">
      <c r="N85" s="14"/>
      <c r="O85" s="14"/>
    </row>
    <row r="86" spans="14:15" ht="27" customHeight="1">
      <c r="N86" s="14"/>
      <c r="O86" s="14"/>
    </row>
    <row r="87" spans="14:15" ht="27" customHeight="1">
      <c r="N87" s="14"/>
      <c r="O87" s="14"/>
    </row>
  </sheetData>
  <mergeCells count="11">
    <mergeCell ref="B16:D16"/>
    <mergeCell ref="B17:D17"/>
    <mergeCell ref="B18:D18"/>
    <mergeCell ref="B19:D19"/>
    <mergeCell ref="C26:D26"/>
    <mergeCell ref="B27:D27"/>
    <mergeCell ref="C20:D20"/>
    <mergeCell ref="C22:D22"/>
    <mergeCell ref="C23:D23"/>
    <mergeCell ref="C24:D24"/>
    <mergeCell ref="C25:D25"/>
  </mergeCells>
  <phoneticPr fontId="1"/>
  <conditionalFormatting sqref="B2">
    <cfRule type="expression" dxfId="9" priority="46">
      <formula>$B$2=TRUE</formula>
    </cfRule>
  </conditionalFormatting>
  <conditionalFormatting sqref="B3">
    <cfRule type="expression" dxfId="8" priority="41">
      <formula>$B$3=TRUE</formula>
    </cfRule>
  </conditionalFormatting>
  <conditionalFormatting sqref="B4">
    <cfRule type="expression" dxfId="7" priority="43">
      <formula>$B$4=TRUE</formula>
    </cfRule>
  </conditionalFormatting>
  <conditionalFormatting sqref="B5">
    <cfRule type="expression" dxfId="6" priority="42">
      <formula>$B$5=TRUE</formula>
    </cfRule>
  </conditionalFormatting>
  <conditionalFormatting sqref="B8">
    <cfRule type="expression" dxfId="5" priority="45">
      <formula>$B$8=TRUE</formula>
    </cfRule>
  </conditionalFormatting>
  <conditionalFormatting sqref="B9">
    <cfRule type="expression" dxfId="4" priority="40">
      <formula>$B$9=TRUE</formula>
    </cfRule>
  </conditionalFormatting>
  <conditionalFormatting sqref="B12">
    <cfRule type="expression" dxfId="3" priority="211">
      <formula>$B$12=TRUE</formula>
    </cfRule>
  </conditionalFormatting>
  <conditionalFormatting sqref="B13">
    <cfRule type="expression" dxfId="2" priority="213">
      <formula>$B$13=TRUE</formula>
    </cfRule>
  </conditionalFormatting>
  <conditionalFormatting sqref="E17:E27">
    <cfRule type="containsText" dxfId="1" priority="2" operator="containsText" text="ERROR">
      <formula>NOT(ISERROR(SEARCH("ERROR",E17)))</formula>
    </cfRule>
  </conditionalFormatting>
  <conditionalFormatting sqref="R3:AF38">
    <cfRule type="expression" dxfId="0" priority="224">
      <formula>$L$3=$AB3</formula>
    </cfRule>
  </conditionalFormatting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カペシタビン</vt:lpstr>
      <vt:lpstr>データベース</vt:lpstr>
      <vt:lpstr>カペシタビン!Print_Area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normalUser</dc:creator>
  <cp:lastModifiedBy>Imura</cp:lastModifiedBy>
  <cp:lastPrinted>2026-06-15T10:57:42Z</cp:lastPrinted>
  <dcterms:created xsi:type="dcterms:W3CDTF">2018-05-25T06:27:27Z</dcterms:created>
  <dcterms:modified xsi:type="dcterms:W3CDTF">2026-07-03T00:31:38Z</dcterms:modified>
</cp:coreProperties>
</file>